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E:\ADMINISTRATION\STAFF.Current\Mireya\Staff Report Revisions\"/>
    </mc:Choice>
  </mc:AlternateContent>
  <xr:revisionPtr revIDLastSave="0" documentId="14_{07B6878E-E38F-46AD-BBE2-08AF6556E00D}" xr6:coauthVersionLast="47" xr6:coauthVersionMax="47" xr10:uidLastSave="{00000000-0000-0000-0000-000000000000}"/>
  <bookViews>
    <workbookView xWindow="-28920" yWindow="-3150" windowWidth="29040" windowHeight="15720" xr2:uid="{7C70C6F4-0948-49D7-A448-E0DD45D1114E}"/>
  </bookViews>
  <sheets>
    <sheet name="Positions by Division" sheetId="3" r:id="rId1"/>
    <sheet name="Direct Overhead" sheetId="6" state="hidden" r:id="rId2"/>
    <sheet name="Indirect  Rate" sheetId="12" r:id="rId3"/>
    <sheet name="Building Overhead" sheetId="16" r:id="rId4"/>
    <sheet name="Building Hourly" sheetId="17" r:id="rId5"/>
    <sheet name="Code Overhead" sheetId="18" r:id="rId6"/>
    <sheet name="Code Hourly" sheetId="19" r:id="rId7"/>
    <sheet name="Planning Overhead" sheetId="13" r:id="rId8"/>
    <sheet name="Planning Hourly (adjusted)" sheetId="9" state="hidden" r:id="rId9"/>
    <sheet name="Planning Hourly" sheetId="14" r:id="rId10"/>
    <sheet name="Planning Subsidy" sheetId="15"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1" i="19" l="1"/>
  <c r="S11" i="19"/>
  <c r="R11" i="19"/>
  <c r="W11" i="19"/>
  <c r="W9" i="19"/>
  <c r="W10" i="19"/>
  <c r="T9" i="19"/>
  <c r="T10" i="19"/>
  <c r="R10" i="19"/>
  <c r="R9" i="19"/>
  <c r="R8" i="19"/>
  <c r="T8" i="19" s="1"/>
  <c r="W8" i="19" s="1"/>
  <c r="R7" i="19"/>
  <c r="T7" i="19" s="1"/>
  <c r="W7" i="19" s="1"/>
  <c r="R6" i="19"/>
  <c r="R5" i="19"/>
  <c r="R4" i="19"/>
  <c r="L8" i="19"/>
  <c r="N8" i="19" s="1"/>
  <c r="L7" i="19"/>
  <c r="N7" i="19" s="1"/>
  <c r="L6" i="19"/>
  <c r="P6" i="19" s="1"/>
  <c r="L4" i="19"/>
  <c r="P4" i="19" s="1"/>
  <c r="C7" i="18"/>
  <c r="C6" i="18"/>
  <c r="C5" i="18"/>
  <c r="B4" i="18"/>
  <c r="E4" i="18"/>
  <c r="C4" i="18"/>
  <c r="Y9" i="17"/>
  <c r="W9" i="17"/>
  <c r="W8" i="17"/>
  <c r="W11" i="17"/>
  <c r="T11" i="17"/>
  <c r="R11" i="17"/>
  <c r="S9" i="17"/>
  <c r="R9" i="17"/>
  <c r="T5" i="17"/>
  <c r="T6" i="17"/>
  <c r="T7" i="17"/>
  <c r="T8" i="17"/>
  <c r="T4" i="17"/>
  <c r="R8" i="17"/>
  <c r="R7" i="17"/>
  <c r="R6" i="17"/>
  <c r="C10" i="16"/>
  <c r="C9" i="16"/>
  <c r="L7" i="17"/>
  <c r="P7" i="17" s="1"/>
  <c r="L6" i="17"/>
  <c r="N6" i="17" s="1"/>
  <c r="L5" i="17"/>
  <c r="P5" i="17" s="1"/>
  <c r="L4" i="17"/>
  <c r="P4" i="17" s="1"/>
  <c r="C8" i="16"/>
  <c r="C7" i="16"/>
  <c r="C6" i="16"/>
  <c r="C5" i="16"/>
  <c r="C4" i="16"/>
  <c r="B4" i="16"/>
  <c r="B10" i="16" s="1"/>
  <c r="E4" i="16"/>
  <c r="T11" i="14"/>
  <c r="I7" i="15"/>
  <c r="I5" i="15"/>
  <c r="C7" i="15"/>
  <c r="C8" i="15"/>
  <c r="B8" i="15" a="1"/>
  <c r="B8" i="15" s="1"/>
  <c r="B7" i="15"/>
  <c r="H5" i="15"/>
  <c r="H4" i="15"/>
  <c r="S9" i="14"/>
  <c r="T8" i="14"/>
  <c r="L8" i="14"/>
  <c r="M8" i="14" s="1"/>
  <c r="T7" i="14"/>
  <c r="L7" i="14"/>
  <c r="T6" i="14"/>
  <c r="L6" i="14"/>
  <c r="M6" i="14" s="1"/>
  <c r="T5" i="14"/>
  <c r="L5" i="14"/>
  <c r="T4" i="14"/>
  <c r="T9" i="14" s="1"/>
  <c r="L4" i="14"/>
  <c r="P4" i="14" s="1"/>
  <c r="B5" i="13"/>
  <c r="C5" i="13"/>
  <c r="E5" i="13"/>
  <c r="F5" i="13"/>
  <c r="C6" i="13"/>
  <c r="C9" i="13" s="1"/>
  <c r="F9" i="13" s="1"/>
  <c r="C7" i="13"/>
  <c r="C8" i="13"/>
  <c r="B9" i="13"/>
  <c r="E9" i="13" s="1"/>
  <c r="B4" i="12"/>
  <c r="B8" i="12" s="1"/>
  <c r="B5" i="12"/>
  <c r="O5" i="12"/>
  <c r="O8" i="12" s="1"/>
  <c r="P8" i="12" s="1"/>
  <c r="Q4" i="12" s="1"/>
  <c r="P5" i="12"/>
  <c r="B6" i="12"/>
  <c r="O6" i="12"/>
  <c r="P6" i="12"/>
  <c r="Q6" i="12" s="1"/>
  <c r="R6" i="12" s="1"/>
  <c r="B7" i="12"/>
  <c r="O7" i="12"/>
  <c r="P7" i="12" s="1"/>
  <c r="L48" i="3"/>
  <c r="R48" i="3" s="1"/>
  <c r="T48" i="3" s="1"/>
  <c r="M48" i="3"/>
  <c r="N48" i="3"/>
  <c r="P48" i="3"/>
  <c r="M8" i="19" l="1"/>
  <c r="P8" i="19"/>
  <c r="N4" i="19"/>
  <c r="M6" i="19"/>
  <c r="N6" i="19"/>
  <c r="M7" i="19"/>
  <c r="M4" i="19"/>
  <c r="P7" i="19"/>
  <c r="C8" i="18"/>
  <c r="B8" i="18"/>
  <c r="P6" i="17"/>
  <c r="M6" i="17"/>
  <c r="N7" i="17"/>
  <c r="M4" i="17"/>
  <c r="R4" i="17" s="1"/>
  <c r="N4" i="17"/>
  <c r="M7" i="17"/>
  <c r="W7" i="17" s="1"/>
  <c r="M5" i="17"/>
  <c r="R5" i="17" s="1"/>
  <c r="W5" i="17" s="1"/>
  <c r="N5" i="17"/>
  <c r="F10" i="16"/>
  <c r="P8" i="14"/>
  <c r="P6" i="14"/>
  <c r="M5" i="14"/>
  <c r="R5" i="14" s="1"/>
  <c r="U5" i="14" s="1"/>
  <c r="X5" i="14" s="1"/>
  <c r="M7" i="14"/>
  <c r="R7" i="14" s="1"/>
  <c r="U7" i="14" s="1"/>
  <c r="X7" i="14" s="1"/>
  <c r="N4" i="14"/>
  <c r="N6" i="14"/>
  <c r="R6" i="14"/>
  <c r="U6" i="14" s="1"/>
  <c r="X6" i="14" s="1"/>
  <c r="N5" i="14"/>
  <c r="N7" i="14"/>
  <c r="M4" i="14"/>
  <c r="R4" i="14" s="1"/>
  <c r="N8" i="14"/>
  <c r="R8" i="14"/>
  <c r="U8" i="14" s="1"/>
  <c r="X8" i="14" s="1"/>
  <c r="P5" i="14"/>
  <c r="P7" i="14"/>
  <c r="R4" i="12"/>
  <c r="Q5" i="12"/>
  <c r="R5" i="12" s="1"/>
  <c r="Q7" i="12"/>
  <c r="R7" i="12" s="1"/>
  <c r="T14" i="9"/>
  <c r="T8" i="9"/>
  <c r="T9" i="9"/>
  <c r="T10" i="9"/>
  <c r="T11" i="9"/>
  <c r="T7" i="9"/>
  <c r="T13" i="9"/>
  <c r="T12" i="9"/>
  <c r="T6" i="9"/>
  <c r="L14" i="9"/>
  <c r="L13" i="9"/>
  <c r="L12" i="9"/>
  <c r="L11" i="9"/>
  <c r="P11" i="9" s="1"/>
  <c r="L10" i="9"/>
  <c r="L9" i="9"/>
  <c r="M9" i="9" s="1"/>
  <c r="L8" i="9"/>
  <c r="L7" i="9"/>
  <c r="P7" i="9" s="1"/>
  <c r="L6" i="9"/>
  <c r="L36" i="6"/>
  <c r="L35" i="6"/>
  <c r="L34" i="6"/>
  <c r="L33" i="6"/>
  <c r="L32" i="6"/>
  <c r="N32" i="6" s="1"/>
  <c r="L31" i="6"/>
  <c r="L30" i="6"/>
  <c r="N30" i="6" s="1"/>
  <c r="L29" i="6"/>
  <c r="L28" i="6"/>
  <c r="L27" i="6"/>
  <c r="L24" i="6"/>
  <c r="P24" i="6" s="1"/>
  <c r="L23" i="6"/>
  <c r="L22" i="6"/>
  <c r="L21" i="6"/>
  <c r="N21" i="6" s="1"/>
  <c r="L20" i="6"/>
  <c r="L19" i="6"/>
  <c r="L18" i="6"/>
  <c r="L17" i="6"/>
  <c r="L16" i="6"/>
  <c r="L15" i="6"/>
  <c r="L14" i="6"/>
  <c r="M14" i="6" s="1"/>
  <c r="L12" i="6"/>
  <c r="L11" i="6"/>
  <c r="L10" i="6"/>
  <c r="L9" i="6"/>
  <c r="L8" i="6"/>
  <c r="N8" i="6" s="1"/>
  <c r="L7" i="6"/>
  <c r="P6" i="6"/>
  <c r="N6" i="6"/>
  <c r="L6" i="6"/>
  <c r="M6" i="6" s="1"/>
  <c r="L5" i="6"/>
  <c r="L4" i="6"/>
  <c r="M4" i="6" s="1"/>
  <c r="T6" i="19" l="1"/>
  <c r="W6" i="19" s="1"/>
  <c r="T4" i="19"/>
  <c r="W4" i="19" s="1"/>
  <c r="E8" i="18"/>
  <c r="F8" i="18"/>
  <c r="W6" i="17"/>
  <c r="W4" i="17"/>
  <c r="E10" i="16"/>
  <c r="U4" i="14"/>
  <c r="X4" i="14" s="1"/>
  <c r="X9" i="14" s="1"/>
  <c r="Z9" i="14" s="1"/>
  <c r="R9" i="14"/>
  <c r="Q8" i="12"/>
  <c r="R8" i="12" s="1"/>
  <c r="S4" i="12" s="1"/>
  <c r="N9" i="9"/>
  <c r="P9" i="9"/>
  <c r="M11" i="9"/>
  <c r="N11" i="9"/>
  <c r="M13" i="9"/>
  <c r="M6" i="9"/>
  <c r="N13" i="9"/>
  <c r="N6" i="9"/>
  <c r="P13" i="9"/>
  <c r="P6" i="9"/>
  <c r="M8" i="9"/>
  <c r="N8" i="9"/>
  <c r="M10" i="9"/>
  <c r="P8" i="9"/>
  <c r="N10" i="9"/>
  <c r="P10" i="9"/>
  <c r="M12" i="9"/>
  <c r="N12" i="9"/>
  <c r="P12" i="9"/>
  <c r="M14" i="9"/>
  <c r="M7" i="9"/>
  <c r="N14" i="9"/>
  <c r="N7" i="9"/>
  <c r="P14" i="9"/>
  <c r="P30" i="6"/>
  <c r="M19" i="6"/>
  <c r="R19" i="6" s="1"/>
  <c r="N19" i="6"/>
  <c r="P19" i="6"/>
  <c r="P8" i="6"/>
  <c r="R6" i="6"/>
  <c r="T6" i="6"/>
  <c r="V6" i="6"/>
  <c r="M30" i="6"/>
  <c r="R30" i="6" s="1"/>
  <c r="P21" i="6"/>
  <c r="P32" i="6"/>
  <c r="N17" i="6"/>
  <c r="P15" i="6"/>
  <c r="N15" i="6"/>
  <c r="M15" i="6"/>
  <c r="N4" i="6"/>
  <c r="P9" i="6"/>
  <c r="N9" i="6"/>
  <c r="P4" i="6"/>
  <c r="M9" i="6"/>
  <c r="M28" i="6"/>
  <c r="N28" i="6"/>
  <c r="P33" i="6"/>
  <c r="N33" i="6"/>
  <c r="M17" i="6"/>
  <c r="P28" i="6"/>
  <c r="M33" i="6"/>
  <c r="R33" i="6" s="1"/>
  <c r="P22" i="6"/>
  <c r="N22" i="6"/>
  <c r="M11" i="6"/>
  <c r="P17" i="6"/>
  <c r="M22" i="6"/>
  <c r="N11" i="6"/>
  <c r="P11" i="6"/>
  <c r="M35" i="6"/>
  <c r="N35" i="6"/>
  <c r="M24" i="6"/>
  <c r="P35" i="6"/>
  <c r="N24" i="6"/>
  <c r="M7" i="6"/>
  <c r="M20" i="6"/>
  <c r="M31" i="6"/>
  <c r="N7" i="6"/>
  <c r="N20" i="6"/>
  <c r="N31" i="6"/>
  <c r="M5" i="6"/>
  <c r="P7" i="6"/>
  <c r="M12" i="6"/>
  <c r="M18" i="6"/>
  <c r="P20" i="6"/>
  <c r="M29" i="6"/>
  <c r="P31" i="6"/>
  <c r="M36" i="6"/>
  <c r="N5" i="6"/>
  <c r="N12" i="6"/>
  <c r="N18" i="6"/>
  <c r="R18" i="6" s="1"/>
  <c r="N29" i="6"/>
  <c r="N36" i="6"/>
  <c r="P5" i="6"/>
  <c r="M10" i="6"/>
  <c r="P12" i="6"/>
  <c r="M16" i="6"/>
  <c r="P18" i="6"/>
  <c r="M23" i="6"/>
  <c r="M27" i="6"/>
  <c r="P29" i="6"/>
  <c r="M34" i="6"/>
  <c r="P36" i="6"/>
  <c r="N10" i="6"/>
  <c r="N16" i="6"/>
  <c r="N23" i="6"/>
  <c r="N27" i="6"/>
  <c r="N34" i="6"/>
  <c r="M8" i="6"/>
  <c r="R8" i="6" s="1"/>
  <c r="P10" i="6"/>
  <c r="P16" i="6"/>
  <c r="M21" i="6"/>
  <c r="P27" i="6"/>
  <c r="M32" i="6"/>
  <c r="P34" i="6"/>
  <c r="P23" i="6"/>
  <c r="T13" i="3"/>
  <c r="L39" i="3"/>
  <c r="L13" i="3"/>
  <c r="L12" i="3"/>
  <c r="P12" i="3" s="1"/>
  <c r="L10" i="3"/>
  <c r="L11" i="3"/>
  <c r="L9" i="3"/>
  <c r="M9" i="3" s="1"/>
  <c r="L7" i="3"/>
  <c r="N7" i="3" s="1"/>
  <c r="L8" i="3"/>
  <c r="N8" i="3" s="1"/>
  <c r="L16" i="3"/>
  <c r="N16" i="3" s="1"/>
  <c r="L17" i="3"/>
  <c r="N17" i="3" s="1"/>
  <c r="L18" i="3"/>
  <c r="N18" i="3" s="1"/>
  <c r="L19" i="3"/>
  <c r="M19" i="3" s="1"/>
  <c r="L20" i="3"/>
  <c r="N20" i="3" s="1"/>
  <c r="L21" i="3"/>
  <c r="M21" i="3" s="1"/>
  <c r="L22" i="3"/>
  <c r="M22" i="3" s="1"/>
  <c r="L23" i="3"/>
  <c r="N23" i="3" s="1"/>
  <c r="M23" i="3"/>
  <c r="L24" i="3"/>
  <c r="L26" i="3"/>
  <c r="M26" i="3" s="1"/>
  <c r="L27" i="3"/>
  <c r="N27" i="3" s="1"/>
  <c r="L28" i="3"/>
  <c r="M28" i="3" s="1"/>
  <c r="L29" i="3"/>
  <c r="M29" i="3" s="1"/>
  <c r="L30" i="3"/>
  <c r="N30" i="3" s="1"/>
  <c r="L31" i="3"/>
  <c r="P31" i="3" s="1"/>
  <c r="L32" i="3"/>
  <c r="M32" i="3" s="1"/>
  <c r="L33" i="3"/>
  <c r="P33" i="3" s="1"/>
  <c r="L34" i="3"/>
  <c r="P34" i="3" s="1"/>
  <c r="L35" i="3"/>
  <c r="N35" i="3" s="1"/>
  <c r="L36" i="3"/>
  <c r="M36" i="3" s="1"/>
  <c r="L40" i="3"/>
  <c r="L41" i="3"/>
  <c r="N41" i="3" s="1"/>
  <c r="L42" i="3"/>
  <c r="N42" i="3" s="1"/>
  <c r="L43" i="3"/>
  <c r="M43" i="3" s="1"/>
  <c r="L44" i="3"/>
  <c r="N44" i="3" s="1"/>
  <c r="L45" i="3"/>
  <c r="P45" i="3" s="1"/>
  <c r="L46" i="3"/>
  <c r="M46" i="3" s="1"/>
  <c r="L47" i="3"/>
  <c r="M47" i="3" s="1"/>
  <c r="M27" i="3" l="1"/>
  <c r="M8" i="3"/>
  <c r="R6" i="9"/>
  <c r="U6" i="9" s="1"/>
  <c r="R13" i="9"/>
  <c r="U13" i="9" s="1"/>
  <c r="R14" i="9"/>
  <c r="U14" i="9" s="1"/>
  <c r="R9" i="9"/>
  <c r="U9" i="9"/>
  <c r="X9" i="9" s="1"/>
  <c r="R11" i="9"/>
  <c r="U11" i="9" s="1"/>
  <c r="R8" i="9"/>
  <c r="U8" i="9" s="1"/>
  <c r="M35" i="3"/>
  <c r="R12" i="9"/>
  <c r="U12" i="9" s="1"/>
  <c r="R10" i="9"/>
  <c r="U10" i="9" s="1"/>
  <c r="R7" i="9"/>
  <c r="U7" i="9" s="1"/>
  <c r="R10" i="6"/>
  <c r="R5" i="6"/>
  <c r="R34" i="6"/>
  <c r="R32" i="6"/>
  <c r="R7" i="6"/>
  <c r="R31" i="6"/>
  <c r="R20" i="6"/>
  <c r="R21" i="6"/>
  <c r="R35" i="6"/>
  <c r="T5" i="6"/>
  <c r="V5" i="6"/>
  <c r="V7" i="6"/>
  <c r="T7" i="6"/>
  <c r="R36" i="6"/>
  <c r="R17" i="6"/>
  <c r="R29" i="6"/>
  <c r="R24" i="6"/>
  <c r="R16" i="6"/>
  <c r="R12" i="6"/>
  <c r="R28" i="6"/>
  <c r="V8" i="6"/>
  <c r="T8" i="6"/>
  <c r="R22" i="6"/>
  <c r="R9" i="6"/>
  <c r="R27" i="6"/>
  <c r="R23" i="6"/>
  <c r="R11" i="6"/>
  <c r="R4" i="6"/>
  <c r="R15" i="6"/>
  <c r="V10" i="6"/>
  <c r="T10" i="6"/>
  <c r="M41" i="3"/>
  <c r="M7" i="3"/>
  <c r="P39" i="3"/>
  <c r="M39" i="3"/>
  <c r="N39" i="3"/>
  <c r="M34" i="3"/>
  <c r="M12" i="3"/>
  <c r="N12" i="3"/>
  <c r="M16" i="3"/>
  <c r="M13" i="3"/>
  <c r="P13" i="3"/>
  <c r="N13" i="3"/>
  <c r="M33" i="3"/>
  <c r="M10" i="3"/>
  <c r="N10" i="3"/>
  <c r="P10" i="3"/>
  <c r="M42" i="3"/>
  <c r="M17" i="3"/>
  <c r="M18" i="3"/>
  <c r="P42" i="3"/>
  <c r="M20" i="3"/>
  <c r="P16" i="3"/>
  <c r="P28" i="3"/>
  <c r="N28" i="3"/>
  <c r="N34" i="3"/>
  <c r="P9" i="3"/>
  <c r="P32" i="3"/>
  <c r="N9" i="3"/>
  <c r="N32" i="3"/>
  <c r="M44" i="3"/>
  <c r="M30" i="3"/>
  <c r="P41" i="3"/>
  <c r="R41" i="3" s="1"/>
  <c r="T41" i="3" s="1"/>
  <c r="M11" i="3"/>
  <c r="P40" i="3"/>
  <c r="N31" i="3"/>
  <c r="P8" i="3"/>
  <c r="P11" i="3"/>
  <c r="N11" i="3"/>
  <c r="N40" i="3"/>
  <c r="P35" i="3"/>
  <c r="M40" i="3"/>
  <c r="M31" i="3"/>
  <c r="P23" i="3"/>
  <c r="R23" i="3" s="1"/>
  <c r="T23" i="3" s="1"/>
  <c r="P17" i="3"/>
  <c r="P29" i="3"/>
  <c r="N29" i="3"/>
  <c r="M45" i="3"/>
  <c r="P30" i="3"/>
  <c r="P20" i="3"/>
  <c r="P7" i="3"/>
  <c r="P44" i="3"/>
  <c r="N33" i="3"/>
  <c r="P47" i="3"/>
  <c r="P36" i="3"/>
  <c r="P22" i="3"/>
  <c r="P19" i="3"/>
  <c r="N47" i="3"/>
  <c r="N36" i="3"/>
  <c r="P27" i="3"/>
  <c r="N22" i="3"/>
  <c r="N19" i="3"/>
  <c r="N45" i="3"/>
  <c r="P24" i="3"/>
  <c r="P46" i="3"/>
  <c r="N24" i="3"/>
  <c r="N46" i="3"/>
  <c r="M24" i="3"/>
  <c r="P43" i="3"/>
  <c r="P21" i="3"/>
  <c r="N43" i="3"/>
  <c r="N21" i="3"/>
  <c r="P18" i="3"/>
  <c r="R27" i="3" l="1"/>
  <c r="T27" i="3" s="1"/>
  <c r="R8" i="3"/>
  <c r="T8" i="3" s="1"/>
  <c r="W13" i="6"/>
  <c r="X13" i="6" s="1"/>
  <c r="R35" i="3"/>
  <c r="T35" i="3" s="1"/>
  <c r="R15" i="9"/>
  <c r="R25" i="6"/>
  <c r="R37" i="6"/>
  <c r="V9" i="6"/>
  <c r="T9" i="6"/>
  <c r="T12" i="6"/>
  <c r="V12" i="6"/>
  <c r="R13" i="6"/>
  <c r="T4" i="6"/>
  <c r="V4" i="6"/>
  <c r="T11" i="6"/>
  <c r="V11" i="6"/>
  <c r="R7" i="3"/>
  <c r="T7" i="3" s="1"/>
  <c r="R32" i="3"/>
  <c r="T32" i="3" s="1"/>
  <c r="R16" i="3"/>
  <c r="T16" i="3" s="1"/>
  <c r="R39" i="3"/>
  <c r="R29" i="3"/>
  <c r="T29" i="3" s="1"/>
  <c r="R28" i="3"/>
  <c r="R33" i="3"/>
  <c r="T33" i="3" s="1"/>
  <c r="R20" i="3"/>
  <c r="T20" i="3" s="1"/>
  <c r="R34" i="3"/>
  <c r="T34" i="3" s="1"/>
  <c r="R12" i="3"/>
  <c r="T12" i="3" s="1"/>
  <c r="R10" i="3"/>
  <c r="T10" i="3" s="1"/>
  <c r="R42" i="3"/>
  <c r="T42" i="3" s="1"/>
  <c r="R18" i="3"/>
  <c r="T18" i="3" s="1"/>
  <c r="R17" i="3"/>
  <c r="R30" i="3"/>
  <c r="T30" i="3" s="1"/>
  <c r="R9" i="3"/>
  <c r="T9" i="3" s="1"/>
  <c r="R44" i="3"/>
  <c r="T44" i="3" s="1"/>
  <c r="R11" i="3"/>
  <c r="T11" i="3" s="1"/>
  <c r="R31" i="3"/>
  <c r="T31" i="3" s="1"/>
  <c r="R40" i="3"/>
  <c r="T40" i="3" s="1"/>
  <c r="R45" i="3"/>
  <c r="T45" i="3" s="1"/>
  <c r="R36" i="3"/>
  <c r="T36" i="3" s="1"/>
  <c r="R24" i="3"/>
  <c r="T24" i="3" s="1"/>
  <c r="R46" i="3"/>
  <c r="T46" i="3" s="1"/>
  <c r="R47" i="3"/>
  <c r="T47" i="3" s="1"/>
  <c r="R19" i="3"/>
  <c r="T19" i="3" s="1"/>
  <c r="R22" i="3"/>
  <c r="T22" i="3" s="1"/>
  <c r="R43" i="3"/>
  <c r="T43" i="3" s="1"/>
  <c r="R21" i="3"/>
  <c r="T21" i="3" s="1"/>
  <c r="R37" i="3" l="1"/>
  <c r="V13" i="6"/>
  <c r="T13" i="6"/>
  <c r="R25" i="3"/>
  <c r="T17" i="3"/>
  <c r="T28" i="3"/>
  <c r="T39" i="3"/>
  <c r="R49" i="3"/>
  <c r="R14" i="3"/>
  <c r="R50" i="3" l="1"/>
  <c r="U38" i="3" s="1"/>
  <c r="U15" i="3" l="1"/>
  <c r="U6" i="3"/>
  <c r="U26" i="3"/>
  <c r="Y13" i="6" l="1"/>
  <c r="U50" i="3"/>
  <c r="V13" i="9" l="1"/>
  <c r="X13" i="9" s="1"/>
  <c r="V8" i="9"/>
  <c r="X8" i="9" s="1"/>
  <c r="V11" i="9"/>
  <c r="X11" i="9" s="1"/>
  <c r="V12" i="9"/>
  <c r="X12" i="9" s="1"/>
  <c r="V7" i="9"/>
  <c r="X7" i="9" s="1"/>
  <c r="V10" i="9"/>
  <c r="X10" i="9" s="1"/>
  <c r="V14" i="9"/>
  <c r="X14" i="9" s="1"/>
  <c r="V6" i="9"/>
  <c r="X6" i="9" s="1"/>
  <c r="X15" i="9" l="1"/>
  <c r="Z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Gloria Martinez</author>
  </authors>
  <commentList>
    <comment ref="M5" authorId="0" shapeId="0" xr:uid="{1BDAC0CC-5CC2-4B8C-94B8-D639D8933514}">
      <text>
        <r>
          <rPr>
            <b/>
            <sz val="9"/>
            <color indexed="81"/>
            <rFont val="Tahoma"/>
            <family val="2"/>
          </rPr>
          <t>Gloria Martinez:</t>
        </r>
        <r>
          <rPr>
            <sz val="9"/>
            <color indexed="81"/>
            <rFont val="Tahoma"/>
            <family val="2"/>
          </rPr>
          <t xml:space="preserve">
7.65% of the first $176100 annual salary, then 1.45% anything over that amount, 
2.75% extra help emolyees
=MIN(I3,176100)*0.062+(I3*0.0145)+MAX(0,(I3-200000))*0.009</t>
        </r>
      </text>
    </comment>
    <comment ref="O5" authorId="0" shapeId="0" xr:uid="{A56BA019-C71E-449E-B487-218BA8C2794C}">
      <text>
        <r>
          <rPr>
            <b/>
            <sz val="9"/>
            <color indexed="81"/>
            <rFont val="Tahoma"/>
            <family val="2"/>
          </rPr>
          <t>Gloria Martinez:</t>
        </r>
        <r>
          <rPr>
            <sz val="9"/>
            <color indexed="81"/>
            <rFont val="Tahoma"/>
            <family val="2"/>
          </rPr>
          <t xml:space="preserve">
Change the Insurance amount every year. Update info on July 1st, use the Payroll Projection Report received for Budget in March.  </t>
        </r>
      </text>
    </comment>
    <comment ref="E7" authorId="0" shapeId="0" xr:uid="{BD1E2652-8E39-456F-B4CC-ADD678F4001B}">
      <text>
        <r>
          <rPr>
            <b/>
            <sz val="9"/>
            <color indexed="81"/>
            <rFont val="Tahoma"/>
            <family val="2"/>
          </rPr>
          <t>Gloria Martinez:</t>
        </r>
        <r>
          <rPr>
            <sz val="9"/>
            <color indexed="81"/>
            <rFont val="Tahoma"/>
            <family val="2"/>
          </rPr>
          <t xml:space="preserve">
$74.92 hours , $12,986 per month</t>
        </r>
      </text>
    </comment>
    <comment ref="E8" authorId="0" shapeId="0" xr:uid="{92C2245C-AD82-4EE8-B228-3934EB197B63}">
      <text>
        <r>
          <rPr>
            <b/>
            <sz val="9"/>
            <color indexed="81"/>
            <rFont val="Tahoma"/>
            <family val="2"/>
          </rPr>
          <t>Gloria Martinez:</t>
        </r>
        <r>
          <rPr>
            <sz val="9"/>
            <color indexed="81"/>
            <rFont val="Tahoma"/>
            <family val="2"/>
          </rPr>
          <t xml:space="preserve">
$53.02 , $9190
</t>
        </r>
      </text>
    </comment>
    <comment ref="E27" authorId="0" shapeId="0" xr:uid="{FEED2577-853B-490E-91C7-32E52C2E16F6}">
      <text>
        <r>
          <rPr>
            <b/>
            <sz val="9"/>
            <color indexed="81"/>
            <rFont val="Tahoma"/>
            <family val="2"/>
          </rPr>
          <t>Gloria Martinez:</t>
        </r>
        <r>
          <rPr>
            <sz val="9"/>
            <color indexed="81"/>
            <rFont val="Tahoma"/>
            <family val="2"/>
          </rPr>
          <t xml:space="preserve">
$10,150.00 monthly, $58.56, new rate $61.49
</t>
        </r>
      </text>
    </comment>
    <comment ref="E39" authorId="0" shapeId="0" xr:uid="{325BAFFA-43A0-4D05-851E-C6CD2A6B1EC9}">
      <text>
        <r>
          <rPr>
            <b/>
            <sz val="9"/>
            <color indexed="81"/>
            <rFont val="Tahoma"/>
            <family val="2"/>
          </rPr>
          <t>Gloria Martinez:</t>
        </r>
        <r>
          <rPr>
            <sz val="9"/>
            <color indexed="81"/>
            <rFont val="Tahoma"/>
            <family val="2"/>
          </rPr>
          <t xml:space="preserve">
$8530 monthly, hourly $49.21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Gloria Martinez</author>
  </authors>
  <commentList>
    <comment ref="E15" authorId="0" shapeId="0" xr:uid="{577E8F1B-BEC3-4557-81B7-BB4B1133A433}">
      <text>
        <r>
          <rPr>
            <b/>
            <sz val="9"/>
            <color indexed="81"/>
            <rFont val="Tahoma"/>
            <family val="2"/>
          </rPr>
          <t>Gloria Martinez:</t>
        </r>
        <r>
          <rPr>
            <sz val="9"/>
            <color indexed="81"/>
            <rFont val="Tahoma"/>
            <family val="2"/>
          </rPr>
          <t xml:space="preserve">
$10,150.00 monthly, $58.56, new rate $61.49
</t>
        </r>
      </text>
    </comment>
    <comment ref="E27" authorId="0" shapeId="0" xr:uid="{5A848C55-56FF-4B64-B380-80AD9677D5FB}">
      <text>
        <r>
          <rPr>
            <b/>
            <sz val="9"/>
            <color indexed="81"/>
            <rFont val="Tahoma"/>
            <family val="2"/>
          </rPr>
          <t>Gloria Martinez:</t>
        </r>
        <r>
          <rPr>
            <sz val="9"/>
            <color indexed="81"/>
            <rFont val="Tahoma"/>
            <family val="2"/>
          </rPr>
          <t xml:space="preserve">
$8530 monthly, hourly $49.21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Gloria Martinez</author>
  </authors>
  <commentList>
    <comment ref="M3" authorId="0" shapeId="0" xr:uid="{422DE9AD-C4D3-434E-9DB7-87ADC6B80E77}">
      <text>
        <r>
          <rPr>
            <b/>
            <sz val="9"/>
            <color indexed="81"/>
            <rFont val="Tahoma"/>
            <family val="2"/>
          </rPr>
          <t>Gloria Martinez:</t>
        </r>
        <r>
          <rPr>
            <sz val="9"/>
            <color indexed="81"/>
            <rFont val="Tahoma"/>
            <family val="2"/>
          </rPr>
          <t xml:space="preserve">
7.65% of the first $176100 annual salary, then 1.45% anything over that amount, 
2.75% extra help emolyees
=MIN(I3,176100)*0.062+(I3*0.0145)+MAX(0,(I3-200000))*0.009</t>
        </r>
      </text>
    </comment>
    <comment ref="N3" authorId="0" shapeId="0" xr:uid="{DBDA4B75-E9D2-43D0-8A53-68D4DE08239B}">
      <text>
        <r>
          <rPr>
            <b/>
            <sz val="9"/>
            <color indexed="81"/>
            <rFont val="Tahoma"/>
            <family val="2"/>
          </rPr>
          <t>Gloria Martinez:</t>
        </r>
        <r>
          <rPr>
            <sz val="9"/>
            <color indexed="81"/>
            <rFont val="Tahoma"/>
            <family val="2"/>
          </rPr>
          <t xml:space="preserve">
7.65% of the first $176100 annual salary, then 1.45% anything over that amount, 
2.75% extra help emolyees
=MIN(I3,176100)*0.062+(I3*0.0145)+MAX(0,(I3-200000))*0.009</t>
        </r>
      </text>
    </comment>
    <comment ref="P3" authorId="0" shapeId="0" xr:uid="{FC635F5B-CFE9-4E5E-938D-48E8EFFCFE59}">
      <text>
        <r>
          <rPr>
            <b/>
            <sz val="9"/>
            <color indexed="81"/>
            <rFont val="Tahoma"/>
            <family val="2"/>
          </rPr>
          <t>Gloria Martinez:</t>
        </r>
        <r>
          <rPr>
            <sz val="9"/>
            <color indexed="81"/>
            <rFont val="Tahoma"/>
            <family val="2"/>
          </rPr>
          <t xml:space="preserve">
Change the Insurance amount every year. Update info on July 1st, use the Payroll Projection Report received for Budget in March.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<sst xmlns="http://schemas.openxmlformats.org/spreadsheetml/2006/main" count="576" uniqueCount="172">
  <si>
    <t>Admin Division</t>
  </si>
  <si>
    <t>Planning Division</t>
  </si>
  <si>
    <t>B</t>
  </si>
  <si>
    <t>Code Enforcement Division</t>
  </si>
  <si>
    <t>Staff Name</t>
  </si>
  <si>
    <t>Position/Title</t>
  </si>
  <si>
    <t>Hire Date</t>
  </si>
  <si>
    <t>Anniversary Date</t>
  </si>
  <si>
    <t>MO/HR Wage</t>
  </si>
  <si>
    <t>Months- before raise, Extra help 900/960 hours</t>
  </si>
  <si>
    <t>New Hrly Rate</t>
  </si>
  <si>
    <t>Months- remaining  after raise</t>
  </si>
  <si>
    <t>Hourly (H),    Managment Monthly (M)</t>
  </si>
  <si>
    <t>Longevity  /  Bilingual               2.5</t>
  </si>
  <si>
    <t>WAGE W/ LONGEVITY /BILINGUAL</t>
  </si>
  <si>
    <t>Perm. Salary</t>
  </si>
  <si>
    <t xml:space="preserve">02-21,  FICA </t>
  </si>
  <si>
    <t>02-22, PERS,      25.73%</t>
  </si>
  <si>
    <t>INS</t>
  </si>
  <si>
    <t>U.I.,    0.2%</t>
  </si>
  <si>
    <t>Director</t>
  </si>
  <si>
    <t>M</t>
  </si>
  <si>
    <t>Deputy Administrator</t>
  </si>
  <si>
    <t>7</t>
  </si>
  <si>
    <t xml:space="preserve"> </t>
  </si>
  <si>
    <t>Miles, Pamela</t>
  </si>
  <si>
    <t>OA III</t>
  </si>
  <si>
    <t>9</t>
  </si>
  <si>
    <t>3</t>
  </si>
  <si>
    <t>H</t>
  </si>
  <si>
    <t>CDD Tech- Helpline</t>
  </si>
  <si>
    <t>12</t>
  </si>
  <si>
    <t>0</t>
  </si>
  <si>
    <t>Senior Planner</t>
  </si>
  <si>
    <t>Claybon, Mary</t>
  </si>
  <si>
    <t>4</t>
  </si>
  <si>
    <t>8</t>
  </si>
  <si>
    <t>Irace, Michelle</t>
  </si>
  <si>
    <t>Stockton, Max</t>
  </si>
  <si>
    <t>Associate Planner</t>
  </si>
  <si>
    <t>Turner, Trish</t>
  </si>
  <si>
    <t>Guerrero, Pablo</t>
  </si>
  <si>
    <t>Assistant Planner II</t>
  </si>
  <si>
    <t>Staff Services Analyst II</t>
  </si>
  <si>
    <t>11</t>
  </si>
  <si>
    <t>1</t>
  </si>
  <si>
    <t>Claybon, Yolanda</t>
  </si>
  <si>
    <t>CDD Tech</t>
  </si>
  <si>
    <t>6</t>
  </si>
  <si>
    <t>Summers, Shelby</t>
  </si>
  <si>
    <t>Resource Planner</t>
  </si>
  <si>
    <t xml:space="preserve">Smalley, Jack </t>
  </si>
  <si>
    <t>Chief Building Official</t>
  </si>
  <si>
    <t>10</t>
  </si>
  <si>
    <t>2</t>
  </si>
  <si>
    <t>Ensley, Lauri</t>
  </si>
  <si>
    <t>CDD Tech, SR</t>
  </si>
  <si>
    <t>5</t>
  </si>
  <si>
    <t xml:space="preserve">Hanson, Philip </t>
  </si>
  <si>
    <t xml:space="preserve">Plans Examiner I </t>
  </si>
  <si>
    <t>Hingston, Simone</t>
  </si>
  <si>
    <t>Plans Examiner II</t>
  </si>
  <si>
    <t>Hueners, Dana</t>
  </si>
  <si>
    <t>CDD Tech, Supervisor</t>
  </si>
  <si>
    <t>McArthur, Ryan</t>
  </si>
  <si>
    <t>Building Inspector</t>
  </si>
  <si>
    <t>L</t>
  </si>
  <si>
    <t>Pinkston, Kim</t>
  </si>
  <si>
    <t>Reid, Nick</t>
  </si>
  <si>
    <t>Saiz, Shannon</t>
  </si>
  <si>
    <t>Staff Services Analyst  II</t>
  </si>
  <si>
    <t>Madden, Aaron</t>
  </si>
  <si>
    <t>Accountant I</t>
  </si>
  <si>
    <t>Beltramo, Marcus</t>
  </si>
  <si>
    <t>Code Manager</t>
  </si>
  <si>
    <t>Colen, Chris</t>
  </si>
  <si>
    <t>Code Officer</t>
  </si>
  <si>
    <t>Code Coordinator</t>
  </si>
  <si>
    <t>Wangberg, Ryan</t>
  </si>
  <si>
    <t>Herringshaw, Michael</t>
  </si>
  <si>
    <t>Nelson, Wesley</t>
  </si>
  <si>
    <t>Garcia Mora, Janet</t>
  </si>
  <si>
    <t>CDD Code Tech</t>
  </si>
  <si>
    <t>Valdez, Norman (Joey)</t>
  </si>
  <si>
    <t>Smith, Logan</t>
  </si>
  <si>
    <t>Marsh, Sammie</t>
  </si>
  <si>
    <t>Beltran, Paige</t>
  </si>
  <si>
    <t>Perm Part Time -  OA</t>
  </si>
  <si>
    <r>
      <rPr>
        <sz val="11"/>
        <color rgb="FFC00000"/>
        <rFont val="Arial"/>
        <family val="2"/>
      </rPr>
      <t>Perm Part Time</t>
    </r>
    <r>
      <rPr>
        <sz val="11"/>
        <color theme="1"/>
        <rFont val="Arial"/>
        <family val="2"/>
      </rPr>
      <t xml:space="preserve"> -  OA</t>
    </r>
  </si>
  <si>
    <t>Building Safety Division</t>
  </si>
  <si>
    <t>Annual Salary &amp; Benefits (S&amp;B)</t>
  </si>
  <si>
    <t>Productive Hours</t>
  </si>
  <si>
    <t>Overall Department</t>
  </si>
  <si>
    <t>Division</t>
  </si>
  <si>
    <t>Annual S&amp;B</t>
  </si>
  <si>
    <t>Hourly S&amp;B</t>
  </si>
  <si>
    <t>11-00 Clothing</t>
  </si>
  <si>
    <t>12-00 Communications</t>
  </si>
  <si>
    <t>14-00 Household</t>
  </si>
  <si>
    <t>15-00 Insurance</t>
  </si>
  <si>
    <t>22-00 Office Supplies</t>
  </si>
  <si>
    <t>23-80 Professional Services</t>
  </si>
  <si>
    <t>23-90 Admin Services</t>
  </si>
  <si>
    <t>28-00 Special Department</t>
  </si>
  <si>
    <t>29-00 Travel/Transporation</t>
  </si>
  <si>
    <t>38-00 Inventory</t>
  </si>
  <si>
    <t>17-00 Maitenence/2000 Memberships</t>
  </si>
  <si>
    <t>Other</t>
  </si>
  <si>
    <t>% of Total</t>
  </si>
  <si>
    <t>Total Operating Budget w/ Admin Share</t>
  </si>
  <si>
    <t>Split out Admin share based on %</t>
  </si>
  <si>
    <t>Total Division Cost</t>
  </si>
  <si>
    <t>Indirect Calculation</t>
  </si>
  <si>
    <t>Based on 25/26 Salaries</t>
  </si>
  <si>
    <t>% time direct/fee</t>
  </si>
  <si>
    <t xml:space="preserve">S&amp;B for Hourly </t>
  </si>
  <si>
    <t>% time overhead</t>
  </si>
  <si>
    <t>Add to Operating</t>
  </si>
  <si>
    <t>Direct Overhead</t>
  </si>
  <si>
    <t>Indirect Rate</t>
  </si>
  <si>
    <t>Operating Budget</t>
  </si>
  <si>
    <t>Operating + Overhead salaries</t>
  </si>
  <si>
    <t>FTE</t>
  </si>
  <si>
    <t>Use Permit</t>
  </si>
  <si>
    <t>Division Operating Budget</t>
  </si>
  <si>
    <t>Billable/ Fee based Hours</t>
  </si>
  <si>
    <t>Notes: Takes all staff positions (from salary spreadhseet created by Sarah Whitman from the 25/26 FY MOU tables, as updated Payroll Projection Reports not available), and re-drivides them, creating an Admin Division for the purpose of calculating and indirect rate.  The indirct rate represents the cost of behind the scenes department functions such as fiannce, grants managment/wirting, contracts/procurement, human resource management, etc)</t>
  </si>
  <si>
    <t>Based on Actual 25/26 filled positions, salary rates</t>
  </si>
  <si>
    <t>FBHR</t>
  </si>
  <si>
    <t>Note:  Annual S&amp; B previously calculated.  Productive hours deducts for paid time off, etc - 1650 is standard and used by City of Lakeport.  Additinally, each position has been adjusted for the %  time dedicated to applications/permits (compared to unfunded activities/non-billable hours).  That calculation produces the fully burdened hourly rate.  Added to FBHRs is 29% for the  Overhead (division's operating expenses) and 21% for the department's Indirect rate for fully rate calculation divided by the number of FTE.  This hourly rate represents the total cost of planning division with no general fund subsidy</t>
  </si>
  <si>
    <t>Subsidy Examples</t>
  </si>
  <si>
    <t>Total hours</t>
  </si>
  <si>
    <t>planner</t>
  </si>
  <si>
    <t>tech</t>
  </si>
  <si>
    <t>senior</t>
  </si>
  <si>
    <t>office</t>
  </si>
  <si>
    <t>Permit Cost</t>
  </si>
  <si>
    <t>County by average hourly/now</t>
  </si>
  <si>
    <t>County by average hourly adjusted</t>
  </si>
  <si>
    <t>Subsidized</t>
  </si>
  <si>
    <t>26/27 Total Planning Budget</t>
  </si>
  <si>
    <t>25/26</t>
  </si>
  <si>
    <t>Planning Hourly has been adjusted for the % of each staff person's time that is billable/fee based</t>
  </si>
  <si>
    <t>based on position</t>
  </si>
  <si>
    <t>Based on 24/25 Expenditures (not including contract payments for special projects), Estimated pull out for Admin Division</t>
  </si>
  <si>
    <t xml:space="preserve">    </t>
  </si>
  <si>
    <t>OAIII</t>
  </si>
  <si>
    <t>operating total</t>
  </si>
  <si>
    <t>Total</t>
  </si>
  <si>
    <t>Operating</t>
  </si>
  <si>
    <t>S&amp;B</t>
  </si>
  <si>
    <t xml:space="preserve">To calculate overhead rate, 3 planning staff (OAIII and 2 CDD Tech) salaries are added to the operating expenses, since their time is not billable.  </t>
  </si>
  <si>
    <t>billable hours on projects</t>
  </si>
  <si>
    <t>Building</t>
  </si>
  <si>
    <t>in unfunded activities</t>
  </si>
  <si>
    <t>Building Overhead</t>
  </si>
  <si>
    <t>CBO</t>
  </si>
  <si>
    <t>SSS</t>
  </si>
  <si>
    <t>Building Hourly</t>
  </si>
  <si>
    <t xml:space="preserve">Building Division </t>
  </si>
  <si>
    <t>OA (EH)</t>
  </si>
  <si>
    <t>Code Overhead</t>
  </si>
  <si>
    <t>Code</t>
  </si>
  <si>
    <t>Manager</t>
  </si>
  <si>
    <t>Code Hourly</t>
  </si>
  <si>
    <t>Hourly</t>
  </si>
  <si>
    <t>Overhead</t>
  </si>
  <si>
    <t>Indirect</t>
  </si>
  <si>
    <t>Full Hourly</t>
  </si>
  <si>
    <t>Code Division</t>
  </si>
  <si>
    <t xml:space="preserve">Hourly </t>
  </si>
  <si>
    <t>Based on 24/25 expenditures, 2025 salaries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</si>
</sst>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14" x14ac:knownFonts="1">
    <font>
      <sz val="11"/>
      <color theme="1"/>
      <name val="Aptos Narrow"/>
      <family val="2"/>
      <scheme val="minor"/>
    </font>
    <font>
      <sz val="11"/>
      <color theme="1"/>
      <name val="Aptos Narrow"/>
      <family val="2"/>
      <scheme val="minor"/>
    </font>
    <font>
      <sz val="9"/>
      <color indexed="81"/>
      <name val="Tahoma"/>
      <family val="2"/>
    </font>
    <font>
      <b/>
      <sz val="9"/>
      <color indexed="81"/>
      <name val="Tahoma"/>
      <family val="2"/>
    </font>
    <font>
      <sz val="11"/>
      <color theme="1"/>
      <name val="Arial"/>
      <family val="2"/>
    </font>
    <font>
      <sz val="11"/>
      <name val="Arial"/>
      <family val="2"/>
    </font>
    <font>
      <sz val="11"/>
      <color theme="8" tint="-0.499984740745262"/>
      <name val="Arial"/>
      <family val="2"/>
    </font>
    <font>
      <sz val="11"/>
      <color rgb="FFFF0000"/>
      <name val="Arial"/>
      <family val="2"/>
    </font>
    <font>
      <sz val="11"/>
      <color rgb="FFC00000"/>
      <name val="Arial"/>
      <family val="2"/>
    </font>
    <font>
      <sz val="10"/>
      <color theme="0"/>
      <name val="Arial"/>
      <family val="2"/>
    </font>
    <font>
      <sz val="11"/>
      <color theme="1"/>
      <name val="Aptos Display"/>
      <family val="2"/>
      <scheme val="major"/>
    </font>
    <font>
      <sz val="16"/>
      <color theme="1"/>
      <name val="Aptos Display"/>
      <family val="2"/>
    </font>
    <font>
      <sz val="11"/>
      <color theme="1"/>
      <name val="Aptos Display"/>
      <family val="2"/>
    </font>
    <font>
      <sz val="11"/>
      <name val="Aptos Display"/>
      <family val="2"/>
    </font>
  </fonts>
  <fills count="5">
    <fill>
      <patternFill patternType="none"/>
    </fill>
    <fill>
      <patternFill patternType="gray125"/>
    </fill>
    <fill>
      <patternFill patternType="solid">
        <fgColor theme="4"/>
      </patternFill>
    </fill>
    <fill>
      <patternFill patternType="solid">
        <fgColor theme="2" tint="-9.9978637043366805E-2"/>
        <bgColor indexed="64"/>
      </patternFill>
    </fill>
    <fill>
      <patternFill patternType="solid">
        <fgColor theme="0"/>
        <bgColor indexed="64"/>
      </patternFill>
    </fill>
  </fills>
  <borders count="1">
    <border>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2" borderId="0" applyNumberFormat="0" applyBorder="0" applyAlignment="0" applyProtection="0"/>
  </cellStyleXfs>
  <cellXfs count="120">
    <xf numFmtId="0" fontId="0" fillId="0" borderId="0" xfId="0"/>
    <xf numFmtId="0" fontId="4" fillId="0" borderId="0" xfId="0" applyFont="1" applyAlignment="1">
      <alignment horizontal="center"/>
    </xf>
    <xf numFmtId="0" fontId="4" fillId="0" borderId="0" xfId="0" applyFont="1"/>
    <xf numFmtId="44" fontId="4" fillId="0" borderId="0" xfId="0" applyNumberFormat="1" applyFont="1"/>
    <xf numFmtId="49" fontId="4" fillId="0" borderId="0" xfId="0" applyNumberFormat="1" applyFont="1" applyAlignment="1">
      <alignment horizontal="center" vertical="center"/>
    </xf>
    <xf numFmtId="44" fontId="4" fillId="0" borderId="0" xfId="0" applyNumberFormat="1" applyFont="1" applyAlignment="1">
      <alignment horizontal="center"/>
    </xf>
    <xf numFmtId="0" fontId="4" fillId="3" borderId="0" xfId="0" applyFont="1" applyFill="1"/>
    <xf numFmtId="14" fontId="4" fillId="3" borderId="0" xfId="0" applyNumberFormat="1" applyFont="1" applyFill="1"/>
    <xf numFmtId="14" fontId="4" fillId="3" borderId="0" xfId="0" applyNumberFormat="1" applyFont="1" applyFill="1" applyAlignment="1">
      <alignment horizontal="center"/>
    </xf>
    <xf numFmtId="44" fontId="4" fillId="3" borderId="0" xfId="0" applyNumberFormat="1" applyFont="1" applyFill="1"/>
    <xf numFmtId="44" fontId="4" fillId="3" borderId="0" xfId="0" applyNumberFormat="1" applyFont="1" applyFill="1" applyAlignment="1">
      <alignment horizontal="center"/>
    </xf>
    <xf numFmtId="0" fontId="5" fillId="0" borderId="0" xfId="0" applyFont="1"/>
    <xf numFmtId="14" fontId="4" fillId="0" borderId="0" xfId="0" applyNumberFormat="1" applyFont="1"/>
    <xf numFmtId="14" fontId="4" fillId="0" borderId="0" xfId="0" applyNumberFormat="1" applyFont="1" applyAlignment="1">
      <alignment horizontal="center"/>
    </xf>
    <xf numFmtId="14" fontId="5" fillId="0" borderId="0" xfId="0" applyNumberFormat="1" applyFont="1" applyAlignment="1">
      <alignment horizontal="center"/>
    </xf>
    <xf numFmtId="14" fontId="5" fillId="0" borderId="0" xfId="0" applyNumberFormat="1" applyFont="1"/>
    <xf numFmtId="44" fontId="5" fillId="0" borderId="0" xfId="0" applyNumberFormat="1" applyFont="1"/>
    <xf numFmtId="0" fontId="7" fillId="0" borderId="0" xfId="0" applyFont="1"/>
    <xf numFmtId="49" fontId="4" fillId="0" borderId="0" xfId="0" applyNumberFormat="1" applyFont="1"/>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wrapText="1"/>
    </xf>
    <xf numFmtId="49" fontId="4" fillId="3" borderId="0" xfId="0" applyNumberFormat="1" applyFont="1" applyFill="1" applyAlignment="1">
      <alignment horizontal="center" vertical="center"/>
    </xf>
    <xf numFmtId="0" fontId="4" fillId="3" borderId="0" xfId="0" applyFont="1" applyFill="1" applyAlignment="1">
      <alignment horizontal="center"/>
    </xf>
    <xf numFmtId="49" fontId="5" fillId="0" borderId="0" xfId="0" applyNumberFormat="1" applyFont="1" applyAlignment="1">
      <alignment horizontal="center" vertical="center"/>
    </xf>
    <xf numFmtId="0" fontId="4" fillId="0" borderId="0" xfId="0" applyFont="1" applyAlignment="1">
      <alignment horizontal="center" vertical="center" wrapText="1"/>
    </xf>
    <xf numFmtId="43" fontId="4" fillId="0" borderId="0" xfId="0" applyNumberFormat="1" applyFont="1" applyAlignment="1">
      <alignment horizontal="center"/>
    </xf>
    <xf numFmtId="0" fontId="4" fillId="4" borderId="0" xfId="0" applyFont="1" applyFill="1"/>
    <xf numFmtId="14" fontId="4" fillId="4" borderId="0" xfId="0" applyNumberFormat="1" applyFont="1" applyFill="1"/>
    <xf numFmtId="14" fontId="4" fillId="4" borderId="0" xfId="0" applyNumberFormat="1" applyFont="1" applyFill="1" applyAlignment="1">
      <alignment horizontal="center"/>
    </xf>
    <xf numFmtId="44" fontId="4" fillId="4" borderId="0" xfId="0" applyNumberFormat="1" applyFont="1" applyFill="1"/>
    <xf numFmtId="0" fontId="4" fillId="4" borderId="0" xfId="0" applyFont="1" applyFill="1" applyAlignment="1">
      <alignment horizontal="center" vertical="center"/>
    </xf>
    <xf numFmtId="49" fontId="4" fillId="4" borderId="0" xfId="0" applyNumberFormat="1" applyFont="1" applyFill="1" applyAlignment="1">
      <alignment horizontal="center" vertical="center"/>
    </xf>
    <xf numFmtId="43" fontId="4" fillId="4" borderId="0" xfId="0" applyNumberFormat="1" applyFont="1" applyFill="1" applyAlignment="1">
      <alignment horizontal="center"/>
    </xf>
    <xf numFmtId="0" fontId="4" fillId="4" borderId="0" xfId="0" applyFont="1" applyFill="1" applyAlignment="1">
      <alignment horizontal="center"/>
    </xf>
    <xf numFmtId="44" fontId="4" fillId="4" borderId="0" xfId="0" applyNumberFormat="1" applyFont="1" applyFill="1" applyAlignment="1">
      <alignment horizontal="center"/>
    </xf>
    <xf numFmtId="0" fontId="6" fillId="4" borderId="0" xfId="0" applyFont="1" applyFill="1"/>
    <xf numFmtId="14" fontId="6" fillId="4" borderId="0" xfId="0" applyNumberFormat="1" applyFont="1" applyFill="1"/>
    <xf numFmtId="14" fontId="6" fillId="4" borderId="0" xfId="0" applyNumberFormat="1" applyFont="1" applyFill="1" applyAlignment="1">
      <alignment horizontal="center"/>
    </xf>
    <xf numFmtId="44" fontId="6" fillId="4" borderId="0" xfId="0" applyNumberFormat="1" applyFont="1" applyFill="1"/>
    <xf numFmtId="49" fontId="6" fillId="4" borderId="0" xfId="0" applyNumberFormat="1" applyFont="1" applyFill="1" applyAlignment="1">
      <alignment horizontal="center" vertical="center"/>
    </xf>
    <xf numFmtId="44" fontId="6" fillId="4" borderId="0" xfId="0" applyNumberFormat="1" applyFont="1" applyFill="1" applyAlignment="1">
      <alignment horizontal="center"/>
    </xf>
    <xf numFmtId="8" fontId="4" fillId="4" borderId="0" xfId="0" applyNumberFormat="1" applyFont="1" applyFill="1"/>
    <xf numFmtId="44" fontId="5" fillId="4" borderId="0" xfId="0" applyNumberFormat="1" applyFont="1" applyFill="1"/>
    <xf numFmtId="0" fontId="5" fillId="4" borderId="0" xfId="0" applyFont="1" applyFill="1"/>
    <xf numFmtId="0" fontId="4" fillId="4" borderId="0" xfId="0" applyFont="1" applyFill="1" applyAlignment="1">
      <alignment horizontal="center" wrapText="1"/>
    </xf>
    <xf numFmtId="0" fontId="4" fillId="3" borderId="0" xfId="0" applyFont="1" applyFill="1" applyAlignment="1">
      <alignment horizontal="center" vertical="center"/>
    </xf>
    <xf numFmtId="44" fontId="4" fillId="4" borderId="0" xfId="1" applyFont="1" applyFill="1"/>
    <xf numFmtId="9" fontId="4" fillId="3" borderId="0" xfId="2" applyFont="1" applyFill="1"/>
    <xf numFmtId="9" fontId="4" fillId="0" borderId="0" xfId="0" applyNumberFormat="1" applyFont="1"/>
    <xf numFmtId="44" fontId="4" fillId="0" borderId="0" xfId="1" applyFont="1"/>
    <xf numFmtId="44" fontId="4" fillId="0" borderId="0" xfId="1" applyFont="1" applyAlignment="1">
      <alignment horizontal="center" wrapText="1"/>
    </xf>
    <xf numFmtId="9" fontId="4" fillId="4" borderId="0" xfId="2" applyFont="1" applyFill="1"/>
    <xf numFmtId="0" fontId="4" fillId="3" borderId="0" xfId="0" applyFont="1" applyFill="1" applyAlignment="1">
      <alignment wrapText="1"/>
    </xf>
    <xf numFmtId="9" fontId="4" fillId="0" borderId="0" xfId="2" applyFont="1"/>
    <xf numFmtId="44" fontId="4" fillId="0" borderId="0" xfId="2" applyNumberFormat="1" applyFont="1"/>
    <xf numFmtId="14" fontId="4" fillId="3" borderId="0" xfId="0" applyNumberFormat="1" applyFont="1" applyFill="1" applyAlignment="1">
      <alignment wrapText="1"/>
    </xf>
    <xf numFmtId="14" fontId="4" fillId="3" borderId="0" xfId="0" applyNumberFormat="1" applyFont="1" applyFill="1" applyAlignment="1">
      <alignment horizontal="center" wrapText="1"/>
    </xf>
    <xf numFmtId="44" fontId="4" fillId="3" borderId="0" xfId="0" applyNumberFormat="1" applyFont="1" applyFill="1" applyAlignment="1">
      <alignment wrapText="1"/>
    </xf>
    <xf numFmtId="49" fontId="4" fillId="3" borderId="0" xfId="0" applyNumberFormat="1" applyFont="1" applyFill="1" applyAlignment="1">
      <alignment horizontal="center" vertical="center" wrapText="1"/>
    </xf>
    <xf numFmtId="44" fontId="4" fillId="3" borderId="0" xfId="0" applyNumberFormat="1" applyFont="1" applyFill="1" applyAlignment="1">
      <alignment horizontal="center" wrapText="1"/>
    </xf>
    <xf numFmtId="0" fontId="4" fillId="3" borderId="0" xfId="0" applyFont="1" applyFill="1" applyAlignment="1">
      <alignment horizontal="center" wrapText="1"/>
    </xf>
    <xf numFmtId="9" fontId="4" fillId="3" borderId="0" xfId="2" applyFont="1" applyFill="1" applyAlignment="1">
      <alignment wrapText="1"/>
    </xf>
    <xf numFmtId="9" fontId="4" fillId="3" borderId="0" xfId="2" applyFont="1" applyFill="1" applyAlignment="1"/>
    <xf numFmtId="2" fontId="4" fillId="0" borderId="0" xfId="0" applyNumberFormat="1" applyFont="1"/>
    <xf numFmtId="44" fontId="0" fillId="0" borderId="0" xfId="0" applyNumberFormat="1"/>
    <xf numFmtId="9" fontId="0" fillId="0" borderId="0" xfId="2" applyFont="1"/>
    <xf numFmtId="44" fontId="0" fillId="0" borderId="0" xfId="1" applyFont="1"/>
    <xf numFmtId="0" fontId="10" fillId="0" borderId="0" xfId="0" applyFont="1" applyAlignment="1">
      <alignment horizontal="left"/>
    </xf>
    <xf numFmtId="44" fontId="10" fillId="0" borderId="0" xfId="0" applyNumberFormat="1" applyFont="1" applyAlignment="1">
      <alignment horizontal="left"/>
    </xf>
    <xf numFmtId="44" fontId="10" fillId="0" borderId="0" xfId="1" applyFont="1" applyAlignment="1">
      <alignment horizontal="left"/>
    </xf>
    <xf numFmtId="9" fontId="10" fillId="0" borderId="0" xfId="2" applyFont="1" applyAlignment="1">
      <alignment horizontal="left"/>
    </xf>
    <xf numFmtId="44" fontId="10" fillId="4" borderId="0" xfId="0" applyNumberFormat="1" applyFont="1" applyFill="1" applyAlignment="1">
      <alignment horizontal="left"/>
    </xf>
    <xf numFmtId="0" fontId="0" fillId="0" borderId="0" xfId="0" applyAlignment="1">
      <alignment horizontal="left"/>
    </xf>
    <xf numFmtId="44" fontId="0" fillId="0" borderId="0" xfId="1" applyFont="1" applyAlignment="1">
      <alignment horizontal="left"/>
    </xf>
    <xf numFmtId="0" fontId="4" fillId="0" borderId="0" xfId="0" applyFont="1" applyAlignment="1">
      <alignment horizontal="right"/>
    </xf>
    <xf numFmtId="44" fontId="4" fillId="0" borderId="0" xfId="0" applyNumberFormat="1" applyFont="1" applyAlignment="1">
      <alignment horizontal="right"/>
    </xf>
    <xf numFmtId="9" fontId="4" fillId="0" borderId="0" xfId="0" applyNumberFormat="1" applyFont="1" applyAlignment="1">
      <alignment horizontal="right"/>
    </xf>
    <xf numFmtId="0" fontId="0" fillId="0" borderId="0" xfId="0" applyAlignment="1">
      <alignment horizontal="right"/>
    </xf>
    <xf numFmtId="44" fontId="0" fillId="0" borderId="0" xfId="1" applyFont="1" applyAlignment="1">
      <alignment horizontal="right"/>
    </xf>
    <xf numFmtId="44" fontId="0" fillId="0" borderId="0" xfId="0" applyNumberFormat="1" applyAlignment="1">
      <alignment horizontal="right"/>
    </xf>
    <xf numFmtId="0" fontId="11" fillId="3" borderId="0" xfId="0" applyFont="1" applyFill="1" applyAlignment="1">
      <alignment horizontal="right"/>
    </xf>
    <xf numFmtId="0" fontId="11" fillId="0" borderId="0" xfId="0" applyFont="1" applyAlignment="1">
      <alignment horizontal="right"/>
    </xf>
    <xf numFmtId="0" fontId="12" fillId="3" borderId="0" xfId="0" applyFont="1" applyFill="1" applyAlignment="1">
      <alignment horizontal="right"/>
    </xf>
    <xf numFmtId="14" fontId="12" fillId="3" borderId="0" xfId="0" applyNumberFormat="1" applyFont="1" applyFill="1" applyAlignment="1">
      <alignment horizontal="right"/>
    </xf>
    <xf numFmtId="44" fontId="12" fillId="3" borderId="0" xfId="0" applyNumberFormat="1" applyFont="1" applyFill="1" applyAlignment="1">
      <alignment horizontal="right"/>
    </xf>
    <xf numFmtId="49" fontId="12" fillId="3" borderId="0" xfId="0" applyNumberFormat="1" applyFont="1" applyFill="1" applyAlignment="1">
      <alignment horizontal="right" vertical="center"/>
    </xf>
    <xf numFmtId="0" fontId="12" fillId="3" borderId="0" xfId="0" applyFont="1" applyFill="1" applyAlignment="1">
      <alignment horizontal="right" wrapText="1"/>
    </xf>
    <xf numFmtId="9" fontId="12" fillId="3" borderId="0" xfId="2" applyFont="1" applyFill="1" applyAlignment="1">
      <alignment horizontal="right"/>
    </xf>
    <xf numFmtId="0" fontId="12" fillId="0" borderId="0" xfId="0" applyFont="1" applyAlignment="1">
      <alignment horizontal="right"/>
    </xf>
    <xf numFmtId="14" fontId="12" fillId="0" borderId="0" xfId="0" applyNumberFormat="1" applyFont="1" applyAlignment="1">
      <alignment horizontal="right"/>
    </xf>
    <xf numFmtId="44" fontId="12" fillId="0" borderId="0" xfId="0" applyNumberFormat="1" applyFont="1" applyAlignment="1">
      <alignment horizontal="right"/>
    </xf>
    <xf numFmtId="49" fontId="12" fillId="0" borderId="0" xfId="0" applyNumberFormat="1" applyFont="1" applyAlignment="1">
      <alignment horizontal="right" vertical="center"/>
    </xf>
    <xf numFmtId="44" fontId="12" fillId="4" borderId="0" xfId="0" applyNumberFormat="1" applyFont="1" applyFill="1" applyAlignment="1">
      <alignment horizontal="right"/>
    </xf>
    <xf numFmtId="9" fontId="12" fillId="0" borderId="0" xfId="0" applyNumberFormat="1" applyFont="1" applyAlignment="1">
      <alignment horizontal="right"/>
    </xf>
    <xf numFmtId="0" fontId="13" fillId="0" borderId="0" xfId="0" applyFont="1" applyAlignment="1">
      <alignment horizontal="right"/>
    </xf>
    <xf numFmtId="14" fontId="13" fillId="0" borderId="0" xfId="0" applyNumberFormat="1" applyFont="1" applyAlignment="1">
      <alignment horizontal="right"/>
    </xf>
    <xf numFmtId="44" fontId="13" fillId="0" borderId="0" xfId="0" applyNumberFormat="1" applyFont="1" applyAlignment="1">
      <alignment horizontal="right"/>
    </xf>
    <xf numFmtId="49" fontId="13" fillId="0" borderId="0" xfId="0" applyNumberFormat="1" applyFont="1" applyAlignment="1">
      <alignment horizontal="right" vertical="center"/>
    </xf>
    <xf numFmtId="0" fontId="12" fillId="3" borderId="0" xfId="0" applyFont="1" applyFill="1" applyAlignment="1">
      <alignment horizontal="left"/>
    </xf>
    <xf numFmtId="14" fontId="12" fillId="3" borderId="0" xfId="0" applyNumberFormat="1" applyFont="1" applyFill="1" applyAlignment="1">
      <alignment horizontal="left"/>
    </xf>
    <xf numFmtId="44" fontId="12" fillId="3" borderId="0" xfId="0" applyNumberFormat="1" applyFont="1" applyFill="1" applyAlignment="1">
      <alignment horizontal="left"/>
    </xf>
    <xf numFmtId="49" fontId="12" fillId="3" borderId="0" xfId="0" applyNumberFormat="1" applyFont="1" applyFill="1" applyAlignment="1">
      <alignment horizontal="left" vertical="center"/>
    </xf>
    <xf numFmtId="0" fontId="12" fillId="3" borderId="0" xfId="0" applyFont="1" applyFill="1" applyAlignment="1">
      <alignment horizontal="left" wrapText="1"/>
    </xf>
    <xf numFmtId="9" fontId="12" fillId="3" borderId="0" xfId="2" applyFont="1" applyFill="1" applyAlignment="1">
      <alignment horizontal="left"/>
    </xf>
    <xf numFmtId="0" fontId="12" fillId="4" borderId="0" xfId="0" applyFont="1" applyFill="1" applyAlignment="1">
      <alignment horizontal="left"/>
    </xf>
    <xf numFmtId="14" fontId="12" fillId="0" borderId="0" xfId="0" applyNumberFormat="1" applyFont="1" applyAlignment="1">
      <alignment horizontal="left"/>
    </xf>
    <xf numFmtId="44" fontId="12" fillId="0" borderId="0" xfId="0" applyNumberFormat="1" applyFont="1" applyAlignment="1">
      <alignment horizontal="left"/>
    </xf>
    <xf numFmtId="49" fontId="12" fillId="0" borderId="0" xfId="0" applyNumberFormat="1" applyFont="1" applyAlignment="1">
      <alignment horizontal="left" vertical="center"/>
    </xf>
    <xf numFmtId="0" fontId="12" fillId="0" borderId="0" xfId="0" applyFont="1" applyAlignment="1">
      <alignment horizontal="left"/>
    </xf>
    <xf numFmtId="44" fontId="12" fillId="4" borderId="0" xfId="0" applyNumberFormat="1" applyFont="1" applyFill="1" applyAlignment="1">
      <alignment horizontal="left"/>
    </xf>
    <xf numFmtId="9" fontId="12" fillId="0" borderId="0" xfId="0" applyNumberFormat="1" applyFont="1" applyAlignment="1">
      <alignment horizontal="left"/>
    </xf>
    <xf numFmtId="14" fontId="13" fillId="0" borderId="0" xfId="0" applyNumberFormat="1" applyFont="1" applyAlignment="1">
      <alignment horizontal="left"/>
    </xf>
    <xf numFmtId="44" fontId="13" fillId="0" borderId="0" xfId="0" applyNumberFormat="1" applyFont="1" applyAlignment="1">
      <alignment horizontal="left"/>
    </xf>
    <xf numFmtId="49" fontId="13" fillId="0" borderId="0" xfId="0" applyNumberFormat="1" applyFont="1" applyAlignment="1">
      <alignment horizontal="left" vertical="center"/>
    </xf>
    <xf numFmtId="44" fontId="12" fillId="0" borderId="0" xfId="1" applyFont="1" applyAlignment="1">
      <alignment horizontal="left"/>
    </xf>
    <xf numFmtId="9" fontId="12" fillId="0" borderId="0" xfId="2" applyFont="1" applyAlignment="1">
      <alignment horizontal="left"/>
    </xf>
    <xf numFmtId="44" fontId="12" fillId="3" borderId="0" xfId="1" applyFont="1" applyFill="1" applyAlignment="1">
      <alignment horizontal="right"/>
    </xf>
    <xf numFmtId="44" fontId="12" fillId="4" borderId="0" xfId="1" applyFont="1" applyFill="1" applyAlignment="1">
      <alignment horizontal="right"/>
    </xf>
    <xf numFmtId="44" fontId="12" fillId="0" borderId="0" xfId="1" applyFont="1" applyAlignment="1">
      <alignment horizontal="right"/>
    </xf>
  </cellXfs>
  <cellStyles count="4">
    <cellStyle name="Accent1 2" xfId="3" xr:uid="{7F57134C-4967-4E93-A0B5-EE3DBD13DA9A}"/>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annon.walker\AppData\Local\Microsoft\Windows\INetCache\Content.Outlook\OX80Y7VV\Fee%20Analysis%20(version%201).xlsx" TargetMode="External"/><Relationship Id="rId1" Type="http://schemas.openxmlformats.org/officeDocument/2006/relationships/externalLinkPath" Target="file:///C:\Users\shannon.walker\AppData\Local\Microsoft\Windows\INetCache\Content.Outlook\OX80Y7VV\Fee%20Analysis%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ositions by Division"/>
      <sheetName val="Direct Overhead"/>
      <sheetName val="Planning Hourly (adjusted) (2)"/>
      <sheetName val="Planning Hourly (adjusted)"/>
      <sheetName val="Planning Subsidy"/>
      <sheetName val="Sheet1"/>
    </sheetNames>
    <sheetDataSet>
      <sheetData sheetId="0" refreshError="1"/>
      <sheetData sheetId="1">
        <row r="4">
          <cell r="R4">
            <v>232677.66288000002</v>
          </cell>
        </row>
        <row r="5">
          <cell r="R5">
            <v>167457.85125333336</v>
          </cell>
        </row>
        <row r="6">
          <cell r="R6">
            <v>91802.310079999996</v>
          </cell>
        </row>
        <row r="8">
          <cell r="R8">
            <v>106546.69551999999</v>
          </cell>
        </row>
        <row r="11">
          <cell r="R11">
            <v>855201.89925333322</v>
          </cell>
        </row>
        <row r="13">
          <cell r="R13">
            <v>73590.11847999999</v>
          </cell>
        </row>
        <row r="19">
          <cell r="R19">
            <v>90010.200800000006</v>
          </cell>
        </row>
        <row r="20">
          <cell r="R20">
            <v>91539.375439999989</v>
          </cell>
        </row>
        <row r="22">
          <cell r="R22">
            <v>1008907.3512799998</v>
          </cell>
        </row>
        <row r="34">
          <cell r="R34">
            <v>1161025.2260906668</v>
          </cell>
        </row>
        <row r="46">
          <cell r="R46">
            <v>1001413.1596533332</v>
          </cell>
        </row>
      </sheetData>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53EFE-ABED-4F22-8B27-4AE04C807DBA}">
  <sheetPr>
    <pageSetUpPr fitToPage="1"/>
  </sheetPr>
  <dimension ref="A1:V50"/>
  <sheetViews>
    <sheetView tabSelected="1" zoomScale="94" zoomScaleNormal="94" workbookViewId="0">
      <pane xSplit="1" ySplit="5" topLeftCell="B22" activePane="bottomRight" state="frozen"/>
      <selection pane="topRight" activeCell="B1" sqref="B1"/>
      <selection pane="bottomLeft" activeCell="A2" sqref="A2"/>
      <selection pane="bottomRight" activeCell="A49" sqref="A49"/>
    </sheetView>
  </sheetViews>
  <sheetFormatPr defaultColWidth="8.85546875" defaultRowHeight="14.25" x14ac:dyDescent="0.2"/>
  <cols>
    <col min="1" max="1" width="23.5703125" style="2" customWidth="1"/>
    <col min="2" max="2" width="26.28515625" style="2" customWidth="1"/>
    <col min="3" max="3" width="11.85546875" style="2" hidden="1" customWidth="1"/>
    <col min="4" max="4" width="12.85546875" style="1" hidden="1" customWidth="1"/>
    <col min="5" max="5" width="11.5703125" style="2" hidden="1" customWidth="1"/>
    <col min="6" max="6" width="11.5703125" style="19" hidden="1" customWidth="1"/>
    <col min="7" max="7" width="11.5703125" style="2" hidden="1" customWidth="1"/>
    <col min="8" max="8" width="11.5703125" style="4" hidden="1" customWidth="1"/>
    <col min="9" max="9" width="9.140625" style="2" hidden="1" customWidth="1"/>
    <col min="10" max="10" width="8.140625" style="2" hidden="1" customWidth="1"/>
    <col min="11" max="11" width="9.28515625" style="2" hidden="1" customWidth="1"/>
    <col min="12" max="12" width="16.140625" style="2" hidden="1" customWidth="1"/>
    <col min="13" max="13" width="14.85546875" style="2" hidden="1" customWidth="1"/>
    <col min="14" max="14" width="13" style="2" hidden="1" customWidth="1"/>
    <col min="15" max="15" width="13.42578125" style="2" hidden="1" customWidth="1"/>
    <col min="16" max="16" width="13.140625" style="2" hidden="1" customWidth="1"/>
    <col min="17" max="17" width="8" style="2" hidden="1" customWidth="1"/>
    <col min="18" max="18" width="19.28515625" style="27" customWidth="1"/>
    <col min="19" max="19" width="13" style="2" customWidth="1"/>
    <col min="20" max="20" width="18.28515625" style="2" customWidth="1"/>
    <col min="21" max="21" width="16.140625" style="2" bestFit="1" customWidth="1"/>
    <col min="22" max="22" width="13" style="2" bestFit="1" customWidth="1"/>
    <col min="23" max="16384" width="8.85546875" style="2"/>
  </cols>
  <sheetData>
    <row r="1" spans="1:22" x14ac:dyDescent="0.2">
      <c r="A1" s="2" t="s">
        <v>127</v>
      </c>
    </row>
    <row r="2" spans="1:22" x14ac:dyDescent="0.2">
      <c r="A2" s="20"/>
    </row>
    <row r="3" spans="1:22" x14ac:dyDescent="0.2">
      <c r="A3" s="2" t="s">
        <v>126</v>
      </c>
    </row>
    <row r="4" spans="1:22" x14ac:dyDescent="0.2">
      <c r="A4" s="20"/>
    </row>
    <row r="5" spans="1:22" ht="39" customHeight="1" x14ac:dyDescent="0.2">
      <c r="A5" s="1" t="s">
        <v>4</v>
      </c>
      <c r="B5" s="1" t="s">
        <v>5</v>
      </c>
      <c r="C5" s="1" t="s">
        <v>6</v>
      </c>
      <c r="D5" s="21" t="s">
        <v>7</v>
      </c>
      <c r="E5" s="21" t="s">
        <v>8</v>
      </c>
      <c r="F5" s="25" t="s">
        <v>9</v>
      </c>
      <c r="G5" s="21" t="s">
        <v>10</v>
      </c>
      <c r="H5" s="25" t="s">
        <v>11</v>
      </c>
      <c r="I5" s="21" t="s">
        <v>12</v>
      </c>
      <c r="J5" s="20" t="s">
        <v>13</v>
      </c>
      <c r="K5" s="20" t="s">
        <v>14</v>
      </c>
      <c r="L5" s="20" t="s">
        <v>15</v>
      </c>
      <c r="M5" s="21" t="s">
        <v>16</v>
      </c>
      <c r="N5" s="21" t="s">
        <v>17</v>
      </c>
      <c r="O5" s="1" t="s">
        <v>18</v>
      </c>
      <c r="P5" s="21" t="s">
        <v>19</v>
      </c>
      <c r="Q5" s="1"/>
      <c r="R5" s="45" t="s">
        <v>90</v>
      </c>
      <c r="S5" s="21" t="s">
        <v>91</v>
      </c>
      <c r="T5" s="1" t="s">
        <v>95</v>
      </c>
      <c r="U5" s="2" t="s">
        <v>108</v>
      </c>
    </row>
    <row r="6" spans="1:22" s="6" customFormat="1" x14ac:dyDescent="0.2">
      <c r="A6" s="6" t="s">
        <v>0</v>
      </c>
      <c r="D6" s="23"/>
      <c r="E6" s="9"/>
      <c r="F6" s="46"/>
      <c r="G6" s="9"/>
      <c r="H6" s="22"/>
      <c r="I6" s="10"/>
      <c r="J6" s="23"/>
      <c r="K6" s="23"/>
      <c r="L6" s="23"/>
      <c r="M6" s="9"/>
      <c r="U6" s="48">
        <f>SUM(R14/R50)</f>
        <v>0.2123908560148052</v>
      </c>
    </row>
    <row r="7" spans="1:22" s="27" customFormat="1" x14ac:dyDescent="0.2">
      <c r="B7" s="27" t="s">
        <v>20</v>
      </c>
      <c r="C7" s="28">
        <v>44760</v>
      </c>
      <c r="D7" s="29">
        <v>45899</v>
      </c>
      <c r="E7" s="30">
        <v>74.92</v>
      </c>
      <c r="F7" s="31">
        <v>2</v>
      </c>
      <c r="G7" s="30">
        <v>78.67</v>
      </c>
      <c r="H7" s="32">
        <v>10</v>
      </c>
      <c r="I7" s="33" t="s">
        <v>21</v>
      </c>
      <c r="J7" s="34"/>
      <c r="K7" s="34"/>
      <c r="L7" s="35">
        <f t="shared" ref="L7:L13" si="0">(E7*(F7/12)*2080)+(G7*(H7/12)*2080)</f>
        <v>162333.6</v>
      </c>
      <c r="M7" s="30">
        <f t="shared" ref="M7:M13" si="1">MIN(L7,176100)*0.062+(L7*0.0145)+MAX(0,(L7-200000))*0.009</f>
        <v>12418.520399999999</v>
      </c>
      <c r="N7" s="30">
        <f t="shared" ref="N7:N13" si="2">L7*0.2573</f>
        <v>41768.435279999998</v>
      </c>
      <c r="O7" s="27">
        <v>15832.44</v>
      </c>
      <c r="P7" s="30">
        <f t="shared" ref="P7:P13" si="3">L7*0.2%</f>
        <v>324.66720000000004</v>
      </c>
      <c r="R7" s="30">
        <f t="shared" ref="R7:R12" si="4">SUM(L7:P7)</f>
        <v>232677.66288000002</v>
      </c>
      <c r="S7" s="27">
        <v>1650</v>
      </c>
      <c r="T7" s="30">
        <f>SUM(R7/S7)</f>
        <v>141.0167653818182</v>
      </c>
    </row>
    <row r="8" spans="1:22" x14ac:dyDescent="0.2">
      <c r="B8" s="2" t="s">
        <v>22</v>
      </c>
      <c r="C8" s="12">
        <v>45103</v>
      </c>
      <c r="D8" s="13">
        <v>45834</v>
      </c>
      <c r="E8" s="3">
        <v>53.02</v>
      </c>
      <c r="F8" s="4">
        <v>5</v>
      </c>
      <c r="G8" s="3">
        <v>55.68</v>
      </c>
      <c r="H8" s="4" t="s">
        <v>23</v>
      </c>
      <c r="I8" s="26" t="s">
        <v>21</v>
      </c>
      <c r="J8" s="1"/>
      <c r="K8" s="1"/>
      <c r="L8" s="5">
        <f t="shared" si="0"/>
        <v>113509.06666666668</v>
      </c>
      <c r="M8" s="3">
        <f t="shared" si="1"/>
        <v>8683.4436000000005</v>
      </c>
      <c r="N8" s="3">
        <f t="shared" si="2"/>
        <v>29205.882853333333</v>
      </c>
      <c r="O8" s="2">
        <v>15832.44</v>
      </c>
      <c r="P8" s="3">
        <f t="shared" si="3"/>
        <v>227.01813333333337</v>
      </c>
      <c r="R8" s="30">
        <f t="shared" si="4"/>
        <v>167457.85125333336</v>
      </c>
      <c r="S8" s="2">
        <v>1650</v>
      </c>
      <c r="T8" s="30">
        <f>SUM(R8/S8)</f>
        <v>101.48960682020203</v>
      </c>
    </row>
    <row r="9" spans="1:22" x14ac:dyDescent="0.2">
      <c r="B9" s="2" t="s">
        <v>30</v>
      </c>
      <c r="C9" s="12">
        <v>44760</v>
      </c>
      <c r="D9" s="14">
        <v>46221</v>
      </c>
      <c r="E9" s="3">
        <v>27.22</v>
      </c>
      <c r="F9" s="4" t="s">
        <v>31</v>
      </c>
      <c r="G9" s="3">
        <v>27.22</v>
      </c>
      <c r="H9" s="4" t="s">
        <v>32</v>
      </c>
      <c r="I9" s="5" t="s">
        <v>29</v>
      </c>
      <c r="J9" s="1"/>
      <c r="K9" s="1"/>
      <c r="L9" s="5">
        <f t="shared" si="0"/>
        <v>56617.599999999999</v>
      </c>
      <c r="M9" s="3">
        <f t="shared" si="1"/>
        <v>4331.2464</v>
      </c>
      <c r="N9" s="3">
        <f t="shared" si="2"/>
        <v>14567.708479999998</v>
      </c>
      <c r="O9" s="3">
        <v>16172.52</v>
      </c>
      <c r="P9" s="3">
        <f t="shared" si="3"/>
        <v>113.23520000000001</v>
      </c>
      <c r="R9" s="30">
        <f t="shared" si="4"/>
        <v>91802.310079999996</v>
      </c>
      <c r="S9" s="27">
        <v>1650</v>
      </c>
      <c r="T9" s="30">
        <f t="shared" ref="T9:T48" si="5">SUM(R9/S9)</f>
        <v>55.63776368484848</v>
      </c>
    </row>
    <row r="10" spans="1:22" x14ac:dyDescent="0.2">
      <c r="B10" s="2" t="s">
        <v>70</v>
      </c>
      <c r="C10" s="12">
        <v>44606</v>
      </c>
      <c r="D10" s="13">
        <v>46096</v>
      </c>
      <c r="E10" s="3">
        <v>34.04</v>
      </c>
      <c r="F10" s="4" t="s">
        <v>36</v>
      </c>
      <c r="G10" s="3">
        <v>35.74</v>
      </c>
      <c r="H10" s="4" t="s">
        <v>35</v>
      </c>
      <c r="I10" s="5" t="s">
        <v>29</v>
      </c>
      <c r="J10" s="1"/>
      <c r="K10" s="1"/>
      <c r="L10" s="5">
        <f t="shared" si="0"/>
        <v>71981.866666666669</v>
      </c>
      <c r="M10" s="3">
        <f t="shared" si="1"/>
        <v>5506.6127999999999</v>
      </c>
      <c r="N10" s="3">
        <f t="shared" si="2"/>
        <v>18520.934293333332</v>
      </c>
      <c r="O10" s="3">
        <v>16827.48</v>
      </c>
      <c r="P10" s="3">
        <f t="shared" si="3"/>
        <v>143.96373333333335</v>
      </c>
      <c r="R10" s="30">
        <f t="shared" si="4"/>
        <v>112980.85749333333</v>
      </c>
      <c r="S10" s="2">
        <v>1650</v>
      </c>
      <c r="T10" s="30">
        <f t="shared" si="5"/>
        <v>68.473246965656557</v>
      </c>
    </row>
    <row r="11" spans="1:22" x14ac:dyDescent="0.2">
      <c r="A11" s="11"/>
      <c r="B11" s="11" t="s">
        <v>43</v>
      </c>
      <c r="C11" s="15">
        <v>45453</v>
      </c>
      <c r="D11" s="14">
        <v>46183</v>
      </c>
      <c r="E11" s="16">
        <v>32.42</v>
      </c>
      <c r="F11" s="24" t="s">
        <v>44</v>
      </c>
      <c r="G11" s="16">
        <v>34.04</v>
      </c>
      <c r="H11" s="24" t="s">
        <v>45</v>
      </c>
      <c r="I11" s="5" t="s">
        <v>29</v>
      </c>
      <c r="J11" s="1"/>
      <c r="K11" s="1"/>
      <c r="L11" s="5">
        <f t="shared" si="0"/>
        <v>67714.399999999994</v>
      </c>
      <c r="M11" s="3">
        <f t="shared" si="1"/>
        <v>5180.1515999999992</v>
      </c>
      <c r="N11" s="3">
        <f t="shared" si="2"/>
        <v>17422.915119999998</v>
      </c>
      <c r="O11" s="3">
        <v>16093.8</v>
      </c>
      <c r="P11" s="3">
        <f t="shared" si="3"/>
        <v>135.4288</v>
      </c>
      <c r="R11" s="30">
        <f t="shared" si="4"/>
        <v>106546.69551999999</v>
      </c>
      <c r="S11" s="27">
        <v>1650</v>
      </c>
      <c r="T11" s="30">
        <f t="shared" si="5"/>
        <v>64.573754860606059</v>
      </c>
    </row>
    <row r="12" spans="1:22" s="27" customFormat="1" x14ac:dyDescent="0.2">
      <c r="B12" s="27" t="s">
        <v>72</v>
      </c>
      <c r="C12" s="28">
        <v>44956</v>
      </c>
      <c r="D12" s="29">
        <v>46001</v>
      </c>
      <c r="E12" s="30">
        <v>26.61</v>
      </c>
      <c r="F12" s="32" t="s">
        <v>57</v>
      </c>
      <c r="G12" s="30">
        <v>27.94</v>
      </c>
      <c r="H12" s="32" t="s">
        <v>23</v>
      </c>
      <c r="I12" s="35" t="s">
        <v>29</v>
      </c>
      <c r="J12" s="34"/>
      <c r="K12" s="34"/>
      <c r="L12" s="35">
        <f t="shared" si="0"/>
        <v>56962.53333333334</v>
      </c>
      <c r="M12" s="30">
        <f t="shared" si="1"/>
        <v>4357.6338000000005</v>
      </c>
      <c r="N12" s="30">
        <f t="shared" si="2"/>
        <v>14656.459826666667</v>
      </c>
      <c r="O12" s="30">
        <v>118.32</v>
      </c>
      <c r="P12" s="30">
        <f t="shared" si="3"/>
        <v>113.92506666666668</v>
      </c>
      <c r="R12" s="30">
        <f t="shared" si="4"/>
        <v>76208.872026666679</v>
      </c>
      <c r="S12" s="2">
        <v>1650</v>
      </c>
      <c r="T12" s="30">
        <f t="shared" si="5"/>
        <v>46.187195167676776</v>
      </c>
    </row>
    <row r="13" spans="1:22" s="27" customFormat="1" ht="13.9" customHeight="1" x14ac:dyDescent="0.2">
      <c r="B13" s="27" t="s">
        <v>72</v>
      </c>
      <c r="C13" s="28">
        <v>45757</v>
      </c>
      <c r="D13" s="29">
        <v>46043</v>
      </c>
      <c r="E13" s="30"/>
      <c r="F13" s="32"/>
      <c r="G13" s="30">
        <v>26.61</v>
      </c>
      <c r="H13" s="32" t="s">
        <v>48</v>
      </c>
      <c r="I13" s="35" t="s">
        <v>29</v>
      </c>
      <c r="J13" s="34"/>
      <c r="K13" s="34"/>
      <c r="L13" s="35">
        <f t="shared" si="0"/>
        <v>27674.399999999998</v>
      </c>
      <c r="M13" s="30">
        <f t="shared" si="1"/>
        <v>2117.0915999999997</v>
      </c>
      <c r="N13" s="30">
        <f t="shared" si="2"/>
        <v>7120.6231199999984</v>
      </c>
      <c r="O13" s="30">
        <v>109.68</v>
      </c>
      <c r="P13" s="30">
        <f t="shared" si="3"/>
        <v>55.348799999999997</v>
      </c>
      <c r="R13" s="47">
        <v>67527.649999999994</v>
      </c>
      <c r="S13" s="27">
        <v>1650</v>
      </c>
      <c r="T13" s="30">
        <f>SUM(R13/S13)</f>
        <v>40.92584848484848</v>
      </c>
      <c r="V13" s="47" t="s">
        <v>24</v>
      </c>
    </row>
    <row r="14" spans="1:22" s="27" customFormat="1" ht="14.25" customHeight="1" x14ac:dyDescent="0.2">
      <c r="C14" s="28"/>
      <c r="D14" s="29"/>
      <c r="E14" s="30"/>
      <c r="F14" s="32"/>
      <c r="G14" s="30"/>
      <c r="H14" s="32"/>
      <c r="I14" s="35"/>
      <c r="J14" s="34"/>
      <c r="K14" s="34"/>
      <c r="L14" s="35"/>
      <c r="M14" s="30"/>
      <c r="N14" s="30"/>
      <c r="O14" s="30"/>
      <c r="P14" s="30"/>
      <c r="R14" s="30">
        <f>SUM(R7:R13)</f>
        <v>855201.89925333322</v>
      </c>
      <c r="T14" s="30" t="s">
        <v>24</v>
      </c>
    </row>
    <row r="15" spans="1:22" s="6" customFormat="1" ht="17.25" customHeight="1" x14ac:dyDescent="0.2">
      <c r="A15" s="6" t="s">
        <v>1</v>
      </c>
      <c r="C15" s="7"/>
      <c r="D15" s="8"/>
      <c r="E15" s="9"/>
      <c r="F15" s="22"/>
      <c r="G15" s="9"/>
      <c r="H15" s="22"/>
      <c r="I15" s="10"/>
      <c r="J15" s="23"/>
      <c r="K15" s="23"/>
      <c r="L15" s="10"/>
      <c r="M15" s="9"/>
      <c r="N15" s="9"/>
      <c r="P15" s="9"/>
      <c r="T15" s="9" t="s">
        <v>24</v>
      </c>
      <c r="U15" s="48">
        <f>SUM(R25/R50)</f>
        <v>0.25056386821062565</v>
      </c>
    </row>
    <row r="16" spans="1:22" x14ac:dyDescent="0.2">
      <c r="A16" s="11"/>
      <c r="B16" s="2" t="s">
        <v>26</v>
      </c>
      <c r="C16" s="12">
        <v>45782</v>
      </c>
      <c r="D16" s="13">
        <v>46147</v>
      </c>
      <c r="E16" s="3">
        <v>19.760000000000002</v>
      </c>
      <c r="F16" s="4" t="s">
        <v>27</v>
      </c>
      <c r="G16" s="3">
        <v>20.75</v>
      </c>
      <c r="H16" s="4" t="s">
        <v>28</v>
      </c>
      <c r="I16" s="5" t="s">
        <v>29</v>
      </c>
      <c r="J16" s="1"/>
      <c r="K16" s="1"/>
      <c r="L16" s="5">
        <f t="shared" ref="L16:L24" si="6">(E16*(F16/12)*2080)+(G16*(H16/12)*2080)</f>
        <v>41615.600000000006</v>
      </c>
      <c r="M16" s="3">
        <f t="shared" ref="M16:M24" si="7">MIN(L16,176100)*0.062+(L16*0.0145)+MAX(0,(L16-200000))*0.009</f>
        <v>3183.5934000000007</v>
      </c>
      <c r="N16" s="3">
        <f t="shared" ref="N16:N24" si="8">L16*0.2573</f>
        <v>10707.693880000001</v>
      </c>
      <c r="O16" s="3">
        <v>18000</v>
      </c>
      <c r="P16" s="3">
        <f t="shared" ref="P16:P24" si="9">L16*0.2%</f>
        <v>83.231200000000015</v>
      </c>
      <c r="R16" s="30">
        <f t="shared" ref="R16:R24" si="10">SUM(L16:P16)</f>
        <v>73590.11847999999</v>
      </c>
      <c r="S16" s="2">
        <v>1650</v>
      </c>
      <c r="T16" s="30">
        <f t="shared" si="5"/>
        <v>44.600071806060598</v>
      </c>
    </row>
    <row r="17" spans="1:21" x14ac:dyDescent="0.2">
      <c r="B17" s="2" t="s">
        <v>33</v>
      </c>
      <c r="C17" s="12">
        <v>44326</v>
      </c>
      <c r="D17" s="13">
        <v>46304</v>
      </c>
      <c r="E17" s="3">
        <v>41.5</v>
      </c>
      <c r="F17" s="4" t="s">
        <v>35</v>
      </c>
      <c r="G17" s="3">
        <v>43.57</v>
      </c>
      <c r="H17" s="4" t="s">
        <v>36</v>
      </c>
      <c r="I17" s="5" t="s">
        <v>29</v>
      </c>
      <c r="J17" s="1"/>
      <c r="K17" s="1"/>
      <c r="L17" s="5">
        <f t="shared" si="6"/>
        <v>89190.399999999994</v>
      </c>
      <c r="M17" s="3">
        <f t="shared" si="7"/>
        <v>6823.0655999999999</v>
      </c>
      <c r="N17" s="3">
        <f t="shared" si="8"/>
        <v>22948.689919999997</v>
      </c>
      <c r="O17" s="3">
        <v>16849.080000000002</v>
      </c>
      <c r="P17" s="3">
        <f t="shared" si="9"/>
        <v>178.38079999999999</v>
      </c>
      <c r="R17" s="30">
        <f t="shared" si="10"/>
        <v>135989.61632</v>
      </c>
      <c r="S17" s="2">
        <v>1650</v>
      </c>
      <c r="T17" s="30">
        <f t="shared" si="5"/>
        <v>82.41794928484849</v>
      </c>
    </row>
    <row r="18" spans="1:21" x14ac:dyDescent="0.2">
      <c r="A18" s="11"/>
      <c r="B18" s="11" t="s">
        <v>33</v>
      </c>
      <c r="C18" s="15">
        <v>45630</v>
      </c>
      <c r="D18" s="14">
        <v>46205</v>
      </c>
      <c r="E18" s="16">
        <v>50.44</v>
      </c>
      <c r="F18" s="24" t="s">
        <v>31</v>
      </c>
      <c r="G18" s="16">
        <v>50.44</v>
      </c>
      <c r="H18" s="24" t="s">
        <v>32</v>
      </c>
      <c r="I18" s="5" t="s">
        <v>29</v>
      </c>
      <c r="J18" s="1"/>
      <c r="K18" s="1"/>
      <c r="L18" s="5">
        <f t="shared" si="6"/>
        <v>104915.2</v>
      </c>
      <c r="M18" s="3">
        <f t="shared" si="7"/>
        <v>8026.0128000000004</v>
      </c>
      <c r="N18" s="3">
        <f t="shared" si="8"/>
        <v>26994.680959999998</v>
      </c>
      <c r="O18" s="3">
        <v>237.12</v>
      </c>
      <c r="P18" s="3">
        <f t="shared" si="9"/>
        <v>209.8304</v>
      </c>
      <c r="R18" s="30">
        <f t="shared" si="10"/>
        <v>140382.84416000001</v>
      </c>
      <c r="S18" s="2">
        <v>1650</v>
      </c>
      <c r="T18" s="30">
        <f t="shared" si="5"/>
        <v>85.080511612121214</v>
      </c>
    </row>
    <row r="19" spans="1:21" x14ac:dyDescent="0.2">
      <c r="A19" s="11"/>
      <c r="B19" s="11" t="s">
        <v>39</v>
      </c>
      <c r="C19" s="15">
        <v>44767</v>
      </c>
      <c r="D19" s="14">
        <v>46228</v>
      </c>
      <c r="E19" s="16">
        <v>40.46</v>
      </c>
      <c r="F19" s="24" t="s">
        <v>31</v>
      </c>
      <c r="G19" s="16">
        <v>40.46</v>
      </c>
      <c r="H19" s="24" t="s">
        <v>32</v>
      </c>
      <c r="I19" s="5" t="s">
        <v>29</v>
      </c>
      <c r="J19" s="1"/>
      <c r="K19" s="1"/>
      <c r="L19" s="5">
        <f t="shared" si="6"/>
        <v>84156.800000000003</v>
      </c>
      <c r="M19" s="3">
        <f t="shared" si="7"/>
        <v>6437.9952000000003</v>
      </c>
      <c r="N19" s="3">
        <f t="shared" si="8"/>
        <v>21653.54464</v>
      </c>
      <c r="O19" s="3">
        <v>16840.439999999999</v>
      </c>
      <c r="P19" s="3">
        <f t="shared" si="9"/>
        <v>168.31360000000001</v>
      </c>
      <c r="R19" s="30">
        <f t="shared" si="10"/>
        <v>129257.09344</v>
      </c>
      <c r="S19" s="2">
        <v>1650</v>
      </c>
      <c r="T19" s="30">
        <f t="shared" si="5"/>
        <v>78.337632387878784</v>
      </c>
    </row>
    <row r="20" spans="1:21" x14ac:dyDescent="0.2">
      <c r="A20" s="11"/>
      <c r="B20" s="11" t="s">
        <v>39</v>
      </c>
      <c r="C20" s="15">
        <v>43808</v>
      </c>
      <c r="D20" s="14">
        <v>46111</v>
      </c>
      <c r="E20" s="16">
        <v>38.53</v>
      </c>
      <c r="F20" s="24" t="s">
        <v>27</v>
      </c>
      <c r="G20" s="16">
        <v>40.46</v>
      </c>
      <c r="H20" s="24" t="s">
        <v>28</v>
      </c>
      <c r="I20" s="5" t="s">
        <v>29</v>
      </c>
      <c r="J20" s="1"/>
      <c r="K20" s="1"/>
      <c r="L20" s="5">
        <f t="shared" si="6"/>
        <v>81146</v>
      </c>
      <c r="M20" s="3">
        <f t="shared" si="7"/>
        <v>6207.6689999999999</v>
      </c>
      <c r="N20" s="3">
        <f t="shared" si="8"/>
        <v>20878.8658</v>
      </c>
      <c r="O20" s="3">
        <v>16204.68</v>
      </c>
      <c r="P20" s="3">
        <f t="shared" si="9"/>
        <v>162.292</v>
      </c>
      <c r="R20" s="30">
        <f t="shared" si="10"/>
        <v>124599.50679999999</v>
      </c>
      <c r="S20" s="2">
        <v>1650</v>
      </c>
      <c r="T20" s="30">
        <f t="shared" si="5"/>
        <v>75.5148526060606</v>
      </c>
    </row>
    <row r="21" spans="1:21" x14ac:dyDescent="0.2">
      <c r="A21" s="11"/>
      <c r="B21" s="11" t="s">
        <v>42</v>
      </c>
      <c r="C21" s="15">
        <v>45481</v>
      </c>
      <c r="D21" s="14">
        <v>46211</v>
      </c>
      <c r="E21" s="16">
        <v>36.68</v>
      </c>
      <c r="F21" s="24" t="s">
        <v>31</v>
      </c>
      <c r="G21" s="16">
        <v>36.68</v>
      </c>
      <c r="H21" s="24" t="s">
        <v>32</v>
      </c>
      <c r="I21" s="5" t="s">
        <v>29</v>
      </c>
      <c r="J21" s="1"/>
      <c r="K21" s="1"/>
      <c r="L21" s="5">
        <f t="shared" si="6"/>
        <v>76294.399999999994</v>
      </c>
      <c r="M21" s="3">
        <f t="shared" si="7"/>
        <v>5836.5215999999991</v>
      </c>
      <c r="N21" s="3">
        <f t="shared" si="8"/>
        <v>19630.549119999996</v>
      </c>
      <c r="O21" s="3">
        <v>15741.72</v>
      </c>
      <c r="P21" s="3">
        <f t="shared" si="9"/>
        <v>152.58879999999999</v>
      </c>
      <c r="R21" s="30">
        <f t="shared" si="10"/>
        <v>117655.77951999998</v>
      </c>
      <c r="S21" s="2">
        <v>1650</v>
      </c>
      <c r="T21" s="30">
        <f t="shared" si="5"/>
        <v>71.306533042424235</v>
      </c>
    </row>
    <row r="22" spans="1:21" x14ac:dyDescent="0.2">
      <c r="A22" s="11"/>
      <c r="B22" s="11" t="s">
        <v>47</v>
      </c>
      <c r="C22" s="15">
        <v>44929</v>
      </c>
      <c r="D22" s="14">
        <v>46025</v>
      </c>
      <c r="E22" s="16">
        <v>25.93</v>
      </c>
      <c r="F22" s="24" t="s">
        <v>48</v>
      </c>
      <c r="G22" s="16">
        <v>27.22</v>
      </c>
      <c r="H22" s="24" t="s">
        <v>48</v>
      </c>
      <c r="I22" s="5" t="s">
        <v>29</v>
      </c>
      <c r="J22" s="1"/>
      <c r="K22" s="1"/>
      <c r="L22" s="5">
        <f t="shared" si="6"/>
        <v>55276</v>
      </c>
      <c r="M22" s="3">
        <f t="shared" si="7"/>
        <v>4228.6140000000005</v>
      </c>
      <c r="N22" s="3">
        <f t="shared" si="8"/>
        <v>14222.514799999999</v>
      </c>
      <c r="O22" s="3">
        <v>16172.52</v>
      </c>
      <c r="P22" s="3">
        <f t="shared" si="9"/>
        <v>110.55200000000001</v>
      </c>
      <c r="R22" s="30">
        <f t="shared" si="10"/>
        <v>90010.200800000006</v>
      </c>
      <c r="S22" s="2">
        <v>1650</v>
      </c>
      <c r="T22" s="30">
        <f t="shared" si="5"/>
        <v>54.551636848484854</v>
      </c>
    </row>
    <row r="23" spans="1:21" x14ac:dyDescent="0.2">
      <c r="A23" s="11"/>
      <c r="B23" s="11" t="s">
        <v>47</v>
      </c>
      <c r="C23" s="15">
        <v>45544</v>
      </c>
      <c r="D23" s="14">
        <v>45909</v>
      </c>
      <c r="E23" s="16">
        <v>25.93</v>
      </c>
      <c r="F23" s="24" t="s">
        <v>28</v>
      </c>
      <c r="G23" s="16">
        <v>27.22</v>
      </c>
      <c r="H23" s="24" t="s">
        <v>27</v>
      </c>
      <c r="I23" s="5" t="s">
        <v>29</v>
      </c>
      <c r="J23" s="1"/>
      <c r="K23" s="1"/>
      <c r="L23" s="5">
        <f t="shared" si="6"/>
        <v>55946.799999999996</v>
      </c>
      <c r="M23" s="3">
        <f t="shared" si="7"/>
        <v>4279.9301999999998</v>
      </c>
      <c r="N23" s="3">
        <f t="shared" si="8"/>
        <v>14395.111639999997</v>
      </c>
      <c r="O23" s="3">
        <v>16805.64</v>
      </c>
      <c r="P23" s="3">
        <f t="shared" si="9"/>
        <v>111.89359999999999</v>
      </c>
      <c r="R23" s="30">
        <f t="shared" si="10"/>
        <v>91539.375439999989</v>
      </c>
      <c r="S23" s="2">
        <v>1650</v>
      </c>
      <c r="T23" s="30">
        <f t="shared" si="5"/>
        <v>55.47840935757575</v>
      </c>
    </row>
    <row r="24" spans="1:21" x14ac:dyDescent="0.2">
      <c r="A24" s="11"/>
      <c r="B24" s="11" t="s">
        <v>50</v>
      </c>
      <c r="C24" s="15">
        <v>45684</v>
      </c>
      <c r="D24" s="14"/>
      <c r="E24" s="16">
        <v>31.63</v>
      </c>
      <c r="F24" s="24" t="s">
        <v>31</v>
      </c>
      <c r="G24" s="16">
        <v>0</v>
      </c>
      <c r="H24" s="24" t="s">
        <v>32</v>
      </c>
      <c r="I24" s="5" t="s">
        <v>29</v>
      </c>
      <c r="J24" s="1"/>
      <c r="K24" s="1"/>
      <c r="L24" s="5">
        <f t="shared" si="6"/>
        <v>65790.399999999994</v>
      </c>
      <c r="M24" s="3">
        <f t="shared" si="7"/>
        <v>5032.9655999999995</v>
      </c>
      <c r="N24" s="3">
        <f t="shared" si="8"/>
        <v>16927.869919999997</v>
      </c>
      <c r="O24" s="3">
        <v>18000</v>
      </c>
      <c r="P24" s="3">
        <f t="shared" si="9"/>
        <v>131.58079999999998</v>
      </c>
      <c r="R24" s="30">
        <f t="shared" si="10"/>
        <v>105882.81631999998</v>
      </c>
      <c r="S24" s="2">
        <v>1650</v>
      </c>
      <c r="T24" s="30">
        <f t="shared" si="5"/>
        <v>64.171403830303021</v>
      </c>
    </row>
    <row r="25" spans="1:21" x14ac:dyDescent="0.2">
      <c r="A25" s="11"/>
      <c r="B25" s="11"/>
      <c r="C25" s="15"/>
      <c r="D25" s="14"/>
      <c r="E25" s="16"/>
      <c r="F25" s="24"/>
      <c r="G25" s="16"/>
      <c r="H25" s="24"/>
      <c r="I25" s="5"/>
      <c r="J25" s="1"/>
      <c r="K25" s="1"/>
      <c r="L25" s="5"/>
      <c r="M25" s="3"/>
      <c r="N25" s="3"/>
      <c r="O25" s="3"/>
      <c r="P25" s="3"/>
      <c r="R25" s="30">
        <f>SUM(R16:R24)</f>
        <v>1008907.3512799998</v>
      </c>
      <c r="T25" s="30" t="s">
        <v>24</v>
      </c>
    </row>
    <row r="26" spans="1:21" s="6" customFormat="1" x14ac:dyDescent="0.2">
      <c r="A26" s="6" t="s">
        <v>89</v>
      </c>
      <c r="C26" s="7"/>
      <c r="D26" s="8"/>
      <c r="E26" s="9"/>
      <c r="F26" s="22"/>
      <c r="G26" s="9"/>
      <c r="H26" s="22"/>
      <c r="I26" s="10"/>
      <c r="J26" s="23"/>
      <c r="K26" s="23"/>
      <c r="L26" s="10">
        <f t="shared" ref="L26:L32" si="11">(E26*(F26/12)*2080)+(G26*(H26/12)*2080)</f>
        <v>0</v>
      </c>
      <c r="M26" s="9">
        <f t="shared" ref="M26:M36" si="12">MIN(L26,176100)*0.062+(L26*0.0145)+MAX(0,(L26-200000))*0.009</f>
        <v>0</v>
      </c>
      <c r="N26" s="9"/>
      <c r="P26" s="9"/>
      <c r="T26" s="9" t="s">
        <v>24</v>
      </c>
      <c r="U26" s="48">
        <f>SUM(R37/R50)</f>
        <v>0.28834260288649421</v>
      </c>
    </row>
    <row r="27" spans="1:21" s="27" customFormat="1" ht="12" customHeight="1" x14ac:dyDescent="0.2">
      <c r="A27" s="36"/>
      <c r="B27" s="36" t="s">
        <v>52</v>
      </c>
      <c r="C27" s="37">
        <v>43045</v>
      </c>
      <c r="D27" s="38">
        <v>46140</v>
      </c>
      <c r="E27" s="39">
        <v>58.56</v>
      </c>
      <c r="F27" s="40" t="s">
        <v>53</v>
      </c>
      <c r="G27" s="39">
        <v>61.49</v>
      </c>
      <c r="H27" s="40" t="s">
        <v>54</v>
      </c>
      <c r="I27" s="41" t="s">
        <v>21</v>
      </c>
      <c r="J27" s="34"/>
      <c r="K27" s="34"/>
      <c r="L27" s="35">
        <f t="shared" si="11"/>
        <v>122820.53333333335</v>
      </c>
      <c r="M27" s="30">
        <f t="shared" si="12"/>
        <v>9395.7708000000021</v>
      </c>
      <c r="N27" s="30">
        <f t="shared" ref="N27:N36" si="13">L27*0.2573</f>
        <v>31601.723226666669</v>
      </c>
      <c r="O27" s="27">
        <v>16392.12</v>
      </c>
      <c r="P27" s="30">
        <f t="shared" ref="P27:P36" si="14">L27*0.2%</f>
        <v>245.64106666666672</v>
      </c>
      <c r="R27" s="30">
        <f t="shared" ref="R27:R36" si="15">SUM(L27:P27)</f>
        <v>180455.78842666667</v>
      </c>
      <c r="S27" s="27">
        <v>1650</v>
      </c>
      <c r="T27" s="30">
        <f t="shared" si="5"/>
        <v>109.3671445010101</v>
      </c>
    </row>
    <row r="28" spans="1:21" x14ac:dyDescent="0.2">
      <c r="B28" s="2" t="s">
        <v>56</v>
      </c>
      <c r="C28" s="12">
        <v>42226</v>
      </c>
      <c r="D28" s="13">
        <v>46354</v>
      </c>
      <c r="E28" s="3">
        <v>31.59</v>
      </c>
      <c r="F28" s="4" t="s">
        <v>57</v>
      </c>
      <c r="G28" s="3">
        <v>33.17</v>
      </c>
      <c r="H28" s="4" t="s">
        <v>23</v>
      </c>
      <c r="I28" s="5" t="s">
        <v>29</v>
      </c>
      <c r="J28" s="1"/>
      <c r="K28" s="5"/>
      <c r="L28" s="5">
        <f t="shared" si="11"/>
        <v>67624.266666666663</v>
      </c>
      <c r="M28" s="3">
        <f t="shared" si="12"/>
        <v>5173.2563999999993</v>
      </c>
      <c r="N28" s="3">
        <f t="shared" si="13"/>
        <v>17399.72381333333</v>
      </c>
      <c r="O28" s="3">
        <v>15748.2</v>
      </c>
      <c r="P28" s="3">
        <f t="shared" si="14"/>
        <v>135.24853333333334</v>
      </c>
      <c r="R28" s="30">
        <f t="shared" si="15"/>
        <v>106080.69541333332</v>
      </c>
      <c r="S28" s="27">
        <v>1650</v>
      </c>
      <c r="T28" s="30">
        <f t="shared" si="5"/>
        <v>64.291330553535346</v>
      </c>
    </row>
    <row r="29" spans="1:21" x14ac:dyDescent="0.2">
      <c r="B29" s="2" t="s">
        <v>59</v>
      </c>
      <c r="C29" s="12">
        <v>44305</v>
      </c>
      <c r="D29" s="13">
        <v>46155</v>
      </c>
      <c r="E29" s="3">
        <v>38.479999999999997</v>
      </c>
      <c r="F29" s="4" t="s">
        <v>44</v>
      </c>
      <c r="G29" s="3">
        <v>39.43</v>
      </c>
      <c r="H29" s="4" t="s">
        <v>45</v>
      </c>
      <c r="I29" s="5" t="s">
        <v>29</v>
      </c>
      <c r="J29" s="1"/>
      <c r="K29" s="1"/>
      <c r="L29" s="5">
        <f t="shared" si="11"/>
        <v>80203.066666666651</v>
      </c>
      <c r="M29" s="3">
        <f t="shared" si="12"/>
        <v>6135.534599999999</v>
      </c>
      <c r="N29" s="3">
        <f t="shared" si="13"/>
        <v>20636.249053333326</v>
      </c>
      <c r="O29" s="3">
        <v>15776.28</v>
      </c>
      <c r="P29" s="3">
        <f t="shared" si="14"/>
        <v>160.40613333333332</v>
      </c>
      <c r="R29" s="30">
        <f t="shared" si="15"/>
        <v>122911.5364533333</v>
      </c>
      <c r="S29" s="27">
        <v>1650</v>
      </c>
      <c r="T29" s="30">
        <f t="shared" si="5"/>
        <v>74.49184027474746</v>
      </c>
    </row>
    <row r="30" spans="1:21" x14ac:dyDescent="0.2">
      <c r="B30" s="2" t="s">
        <v>61</v>
      </c>
      <c r="C30" s="12">
        <v>43607</v>
      </c>
      <c r="D30" s="13">
        <v>47385</v>
      </c>
      <c r="E30" s="3">
        <v>44.58</v>
      </c>
      <c r="F30" s="4" t="s">
        <v>31</v>
      </c>
      <c r="G30" s="3">
        <v>0</v>
      </c>
      <c r="H30" s="4" t="s">
        <v>32</v>
      </c>
      <c r="I30" s="5" t="s">
        <v>29</v>
      </c>
      <c r="J30" s="1"/>
      <c r="K30" s="1"/>
      <c r="L30" s="5">
        <f t="shared" si="11"/>
        <v>92726.399999999994</v>
      </c>
      <c r="M30" s="3">
        <f t="shared" si="12"/>
        <v>7093.5695999999998</v>
      </c>
      <c r="N30" s="3">
        <f t="shared" si="13"/>
        <v>23858.502719999997</v>
      </c>
      <c r="O30" s="3">
        <v>15806.52</v>
      </c>
      <c r="P30" s="3">
        <f t="shared" si="14"/>
        <v>185.4528</v>
      </c>
      <c r="R30" s="30">
        <f t="shared" si="15"/>
        <v>139670.44511999999</v>
      </c>
      <c r="S30" s="27">
        <v>1650</v>
      </c>
      <c r="T30" s="30">
        <f t="shared" si="5"/>
        <v>84.648754618181812</v>
      </c>
    </row>
    <row r="31" spans="1:21" x14ac:dyDescent="0.2">
      <c r="B31" s="2" t="s">
        <v>63</v>
      </c>
      <c r="C31" s="12">
        <v>42471</v>
      </c>
      <c r="D31" s="13">
        <v>46322</v>
      </c>
      <c r="E31" s="3">
        <v>35.74</v>
      </c>
      <c r="F31" s="4" t="s">
        <v>35</v>
      </c>
      <c r="G31" s="3">
        <v>39.450000000000003</v>
      </c>
      <c r="H31" s="4" t="s">
        <v>36</v>
      </c>
      <c r="I31" s="5" t="s">
        <v>29</v>
      </c>
      <c r="J31" s="1"/>
      <c r="K31" s="1"/>
      <c r="L31" s="5">
        <f t="shared" si="11"/>
        <v>79483.733333333337</v>
      </c>
      <c r="M31" s="3">
        <f t="shared" si="12"/>
        <v>6080.5056000000004</v>
      </c>
      <c r="N31" s="3">
        <f t="shared" si="13"/>
        <v>20451.164586666666</v>
      </c>
      <c r="O31" s="3">
        <v>165.84</v>
      </c>
      <c r="P31" s="3">
        <f t="shared" si="14"/>
        <v>158.96746666666667</v>
      </c>
      <c r="R31" s="30">
        <f t="shared" si="15"/>
        <v>106340.21098666667</v>
      </c>
      <c r="S31" s="27">
        <v>1650</v>
      </c>
      <c r="T31" s="30">
        <f t="shared" si="5"/>
        <v>64.448612719191928</v>
      </c>
    </row>
    <row r="32" spans="1:21" x14ac:dyDescent="0.2">
      <c r="B32" s="2" t="s">
        <v>65</v>
      </c>
      <c r="C32" s="12">
        <v>39748</v>
      </c>
      <c r="D32" s="13">
        <v>47525</v>
      </c>
      <c r="E32" s="3">
        <v>35.700000000000003</v>
      </c>
      <c r="F32" s="4" t="s">
        <v>31</v>
      </c>
      <c r="G32" s="3">
        <v>0</v>
      </c>
      <c r="H32" s="4" t="s">
        <v>32</v>
      </c>
      <c r="I32" s="5" t="s">
        <v>29</v>
      </c>
      <c r="J32" s="1" t="s">
        <v>66</v>
      </c>
      <c r="K32" s="1"/>
      <c r="L32" s="5">
        <f t="shared" si="11"/>
        <v>74256</v>
      </c>
      <c r="M32" s="3">
        <f t="shared" si="12"/>
        <v>5680.5840000000007</v>
      </c>
      <c r="N32" s="3">
        <f t="shared" si="13"/>
        <v>19106.068799999997</v>
      </c>
      <c r="O32" s="3">
        <v>15765.48</v>
      </c>
      <c r="P32" s="3">
        <f t="shared" si="14"/>
        <v>148.512</v>
      </c>
      <c r="R32" s="30">
        <f t="shared" si="15"/>
        <v>114956.64479999999</v>
      </c>
      <c r="S32" s="27">
        <v>1650</v>
      </c>
      <c r="T32" s="30">
        <f t="shared" si="5"/>
        <v>69.670693818181817</v>
      </c>
    </row>
    <row r="33" spans="1:21" x14ac:dyDescent="0.2">
      <c r="B33" s="18" t="s">
        <v>88</v>
      </c>
      <c r="C33" s="12">
        <v>45336</v>
      </c>
      <c r="D33" s="13">
        <v>46067</v>
      </c>
      <c r="E33" s="3">
        <v>17.91</v>
      </c>
      <c r="F33" s="4" t="s">
        <v>36</v>
      </c>
      <c r="G33" s="3">
        <v>18.809999999999999</v>
      </c>
      <c r="H33" s="4" t="s">
        <v>35</v>
      </c>
      <c r="I33" s="5" t="s">
        <v>29</v>
      </c>
      <c r="J33" s="1"/>
      <c r="K33" s="1"/>
      <c r="L33" s="5">
        <f>(E33*(F33/12)*1248)+(G33*(H33/12)*1248)</f>
        <v>22726.079999999998</v>
      </c>
      <c r="M33" s="3">
        <f t="shared" si="12"/>
        <v>1738.54512</v>
      </c>
      <c r="N33" s="3">
        <f t="shared" si="13"/>
        <v>5847.4203839999991</v>
      </c>
      <c r="O33" s="3">
        <v>16140.12</v>
      </c>
      <c r="P33" s="3">
        <f t="shared" si="14"/>
        <v>45.452159999999999</v>
      </c>
      <c r="R33" s="30">
        <f t="shared" si="15"/>
        <v>46497.617663999998</v>
      </c>
      <c r="S33" s="27">
        <v>1650</v>
      </c>
      <c r="T33" s="30">
        <f t="shared" si="5"/>
        <v>28.18037434181818</v>
      </c>
    </row>
    <row r="34" spans="1:21" x14ac:dyDescent="0.2">
      <c r="B34" s="2" t="s">
        <v>65</v>
      </c>
      <c r="C34" s="12">
        <v>43430</v>
      </c>
      <c r="D34" s="13">
        <v>47083</v>
      </c>
      <c r="E34" s="3">
        <v>39.4</v>
      </c>
      <c r="F34" s="4" t="s">
        <v>31</v>
      </c>
      <c r="G34" s="3">
        <v>0</v>
      </c>
      <c r="H34" s="4" t="s">
        <v>32</v>
      </c>
      <c r="I34" s="5" t="s">
        <v>29</v>
      </c>
      <c r="J34" s="1"/>
      <c r="K34" s="1"/>
      <c r="L34" s="5">
        <f>(E34*(F34/12)*2080)+(G34*(H34/12)*2080)</f>
        <v>81952</v>
      </c>
      <c r="M34" s="3">
        <f t="shared" si="12"/>
        <v>6269.3280000000004</v>
      </c>
      <c r="N34" s="3">
        <f t="shared" si="13"/>
        <v>21086.249599999999</v>
      </c>
      <c r="O34" s="3">
        <v>15771.36</v>
      </c>
      <c r="P34" s="3">
        <f t="shared" si="14"/>
        <v>163.904</v>
      </c>
      <c r="R34" s="30">
        <f t="shared" si="15"/>
        <v>125242.84159999999</v>
      </c>
      <c r="S34" s="27">
        <v>1650</v>
      </c>
      <c r="T34" s="30">
        <f t="shared" si="5"/>
        <v>75.904752484848473</v>
      </c>
    </row>
    <row r="35" spans="1:21" x14ac:dyDescent="0.2">
      <c r="B35" s="2" t="s">
        <v>56</v>
      </c>
      <c r="C35" s="12">
        <v>43563</v>
      </c>
      <c r="D35" s="13">
        <v>45990</v>
      </c>
      <c r="E35" s="3">
        <v>30.08</v>
      </c>
      <c r="F35" s="4" t="s">
        <v>57</v>
      </c>
      <c r="G35" s="3">
        <v>31.59</v>
      </c>
      <c r="H35" s="4" t="s">
        <v>23</v>
      </c>
      <c r="I35" s="5" t="s">
        <v>29</v>
      </c>
      <c r="J35" s="1"/>
      <c r="K35" s="1"/>
      <c r="L35" s="5">
        <f>(E35*(F35/12)*2080)+(G35*(H35/12)*2080)</f>
        <v>64398.53333333334</v>
      </c>
      <c r="M35" s="3">
        <f t="shared" si="12"/>
        <v>4926.4878000000008</v>
      </c>
      <c r="N35" s="3">
        <f t="shared" si="13"/>
        <v>16569.742626666666</v>
      </c>
      <c r="O35" s="3">
        <v>16816.439999999999</v>
      </c>
      <c r="P35" s="3">
        <f t="shared" si="14"/>
        <v>128.79706666666669</v>
      </c>
      <c r="R35" s="30">
        <f t="shared" si="15"/>
        <v>102840.00082666667</v>
      </c>
      <c r="S35" s="27">
        <v>1650</v>
      </c>
      <c r="T35" s="30">
        <f t="shared" si="5"/>
        <v>62.327273228282827</v>
      </c>
    </row>
    <row r="36" spans="1:21" x14ac:dyDescent="0.2">
      <c r="B36" s="2" t="s">
        <v>65</v>
      </c>
      <c r="C36" s="12">
        <v>44060</v>
      </c>
      <c r="D36" s="13">
        <v>47712</v>
      </c>
      <c r="E36" s="3">
        <v>35.700000000000003</v>
      </c>
      <c r="F36" s="4" t="s">
        <v>31</v>
      </c>
      <c r="G36" s="3">
        <v>0</v>
      </c>
      <c r="H36" s="4" t="s">
        <v>32</v>
      </c>
      <c r="I36" s="5" t="s">
        <v>29</v>
      </c>
      <c r="J36" s="1"/>
      <c r="K36" s="1"/>
      <c r="L36" s="5">
        <f>(E36*(F36/12)*2080)+(G36*(H36/12)*2080)</f>
        <v>74256</v>
      </c>
      <c r="M36" s="3">
        <f t="shared" si="12"/>
        <v>5680.5840000000007</v>
      </c>
      <c r="N36" s="3">
        <f t="shared" si="13"/>
        <v>19106.068799999997</v>
      </c>
      <c r="O36" s="3">
        <v>16838.28</v>
      </c>
      <c r="P36" s="3">
        <f t="shared" si="14"/>
        <v>148.512</v>
      </c>
      <c r="R36" s="30">
        <f t="shared" si="15"/>
        <v>116029.4448</v>
      </c>
      <c r="S36" s="27">
        <v>1650</v>
      </c>
      <c r="T36" s="30">
        <f t="shared" si="5"/>
        <v>70.320875636363638</v>
      </c>
    </row>
    <row r="37" spans="1:21" x14ac:dyDescent="0.2">
      <c r="C37" s="12"/>
      <c r="D37" s="13"/>
      <c r="E37" s="3"/>
      <c r="F37" s="4"/>
      <c r="G37" s="3"/>
      <c r="I37" s="5"/>
      <c r="J37" s="1"/>
      <c r="K37" s="1"/>
      <c r="L37" s="5"/>
      <c r="M37" s="3"/>
      <c r="N37" s="3"/>
      <c r="O37" s="3"/>
      <c r="P37" s="3"/>
      <c r="R37" s="30">
        <f>SUM(R27:R36)</f>
        <v>1161025.2260906668</v>
      </c>
      <c r="T37" s="30" t="s">
        <v>24</v>
      </c>
    </row>
    <row r="38" spans="1:21" s="6" customFormat="1" x14ac:dyDescent="0.2">
      <c r="A38" s="6" t="s">
        <v>3</v>
      </c>
      <c r="C38" s="7"/>
      <c r="D38" s="8"/>
      <c r="E38" s="9"/>
      <c r="F38" s="22"/>
      <c r="G38" s="9"/>
      <c r="H38" s="22"/>
      <c r="I38" s="10"/>
      <c r="J38" s="23"/>
      <c r="K38" s="23"/>
      <c r="L38" s="10"/>
      <c r="M38" s="9"/>
      <c r="N38" s="9"/>
      <c r="P38" s="9"/>
      <c r="R38" s="9"/>
      <c r="T38" s="9" t="s">
        <v>24</v>
      </c>
      <c r="U38" s="48">
        <f>SUM(R49/R50)</f>
        <v>0.24870267288807504</v>
      </c>
    </row>
    <row r="39" spans="1:21" s="27" customFormat="1" ht="14.45" customHeight="1" x14ac:dyDescent="0.2">
      <c r="B39" s="27" t="s">
        <v>74</v>
      </c>
      <c r="C39" s="28">
        <v>43549</v>
      </c>
      <c r="D39" s="29">
        <v>47453</v>
      </c>
      <c r="E39" s="30">
        <v>49.21</v>
      </c>
      <c r="F39" s="32" t="s">
        <v>31</v>
      </c>
      <c r="G39" s="30">
        <v>0</v>
      </c>
      <c r="H39" s="32" t="s">
        <v>32</v>
      </c>
      <c r="I39" s="35" t="s">
        <v>21</v>
      </c>
      <c r="J39" s="34"/>
      <c r="K39" s="34"/>
      <c r="L39" s="35">
        <f t="shared" ref="L39:L48" si="16">(E39*(F39/12)*2080)+(G39*(H39/12)*2080)</f>
        <v>102356.8</v>
      </c>
      <c r="M39" s="30">
        <f t="shared" ref="M39:M48" si="17">MIN(L39,176100)*0.062+(L39*0.0145)+MAX(0,(L39-200000))*0.009</f>
        <v>7830.2952000000005</v>
      </c>
      <c r="N39" s="30">
        <f t="shared" ref="N39:N48" si="18">L39*0.2573</f>
        <v>26336.404639999997</v>
      </c>
      <c r="O39" s="30">
        <v>15797.88</v>
      </c>
      <c r="P39" s="30">
        <f t="shared" ref="P39:P48" si="19">L39*0.2%</f>
        <v>204.71360000000001</v>
      </c>
      <c r="R39" s="30">
        <f t="shared" ref="R39:R48" si="20">SUM(L39:Q39)</f>
        <v>152526.09344</v>
      </c>
      <c r="S39" s="27">
        <v>1650</v>
      </c>
      <c r="T39" s="30">
        <f t="shared" si="5"/>
        <v>92.440056630303033</v>
      </c>
    </row>
    <row r="40" spans="1:21" s="27" customFormat="1" x14ac:dyDescent="0.2">
      <c r="B40" s="27" t="s">
        <v>77</v>
      </c>
      <c r="C40" s="28">
        <v>44781</v>
      </c>
      <c r="D40" s="29">
        <v>46267</v>
      </c>
      <c r="E40" s="30">
        <v>36.659999999999997</v>
      </c>
      <c r="F40" s="32" t="s">
        <v>27</v>
      </c>
      <c r="G40" s="30"/>
      <c r="H40" s="32"/>
      <c r="I40" s="35" t="s">
        <v>29</v>
      </c>
      <c r="J40" s="34"/>
      <c r="K40" s="34"/>
      <c r="L40" s="35">
        <f t="shared" si="16"/>
        <v>57189.599999999991</v>
      </c>
      <c r="M40" s="30">
        <f t="shared" si="17"/>
        <v>4375.0043999999998</v>
      </c>
      <c r="N40" s="30">
        <f t="shared" si="18"/>
        <v>14714.884079999996</v>
      </c>
      <c r="O40" s="30">
        <v>16838.28</v>
      </c>
      <c r="P40" s="30">
        <f t="shared" si="19"/>
        <v>114.37919999999998</v>
      </c>
      <c r="R40" s="30">
        <f t="shared" si="20"/>
        <v>93232.14767999998</v>
      </c>
      <c r="S40" s="27">
        <v>1650</v>
      </c>
      <c r="T40" s="30">
        <f t="shared" si="5"/>
        <v>56.504331927272716</v>
      </c>
      <c r="U40" s="27" t="s">
        <v>24</v>
      </c>
    </row>
    <row r="41" spans="1:21" s="27" customFormat="1" x14ac:dyDescent="0.2">
      <c r="B41" s="27" t="s">
        <v>77</v>
      </c>
      <c r="C41" s="28">
        <v>45269</v>
      </c>
      <c r="D41" s="29">
        <v>47031</v>
      </c>
      <c r="E41" s="30">
        <v>38.49</v>
      </c>
      <c r="F41" s="32" t="s">
        <v>27</v>
      </c>
      <c r="G41" s="30"/>
      <c r="H41" s="32"/>
      <c r="I41" s="35" t="s">
        <v>29</v>
      </c>
      <c r="J41" s="34"/>
      <c r="K41" s="34"/>
      <c r="L41" s="35">
        <f t="shared" si="16"/>
        <v>60044.4</v>
      </c>
      <c r="M41" s="30">
        <f t="shared" si="17"/>
        <v>4593.3966</v>
      </c>
      <c r="N41" s="30">
        <f t="shared" si="18"/>
        <v>15449.424119999998</v>
      </c>
      <c r="O41" s="30">
        <v>16838.28</v>
      </c>
      <c r="P41" s="30">
        <f t="shared" si="19"/>
        <v>120.08880000000001</v>
      </c>
      <c r="R41" s="30">
        <f t="shared" si="20"/>
        <v>97045.589519999994</v>
      </c>
      <c r="S41" s="27">
        <v>1650</v>
      </c>
      <c r="T41" s="30">
        <f t="shared" si="5"/>
        <v>58.815508799999996</v>
      </c>
    </row>
    <row r="42" spans="1:21" s="27" customFormat="1" x14ac:dyDescent="0.2">
      <c r="B42" s="27" t="s">
        <v>76</v>
      </c>
      <c r="C42" s="28">
        <v>45313</v>
      </c>
      <c r="D42" s="29">
        <v>46044</v>
      </c>
      <c r="E42" s="42">
        <v>33.19</v>
      </c>
      <c r="F42" s="32" t="s">
        <v>48</v>
      </c>
      <c r="G42" s="42">
        <v>34.85</v>
      </c>
      <c r="H42" s="32" t="s">
        <v>48</v>
      </c>
      <c r="I42" s="35" t="s">
        <v>29</v>
      </c>
      <c r="J42" s="34"/>
      <c r="K42" s="34"/>
      <c r="L42" s="35">
        <f t="shared" si="16"/>
        <v>70761.600000000006</v>
      </c>
      <c r="M42" s="30">
        <f t="shared" si="17"/>
        <v>5413.2624000000005</v>
      </c>
      <c r="N42" s="30">
        <f t="shared" si="18"/>
        <v>18206.95968</v>
      </c>
      <c r="O42" s="30">
        <v>144.24</v>
      </c>
      <c r="P42" s="30">
        <f t="shared" si="19"/>
        <v>141.5232</v>
      </c>
      <c r="Q42" s="27">
        <v>2400</v>
      </c>
      <c r="R42" s="30">
        <f t="shared" si="20"/>
        <v>97067.585280000014</v>
      </c>
      <c r="S42" s="27">
        <v>1650</v>
      </c>
      <c r="T42" s="30">
        <f t="shared" si="5"/>
        <v>58.828839563636372</v>
      </c>
    </row>
    <row r="43" spans="1:21" s="27" customFormat="1" x14ac:dyDescent="0.2">
      <c r="B43" s="27" t="s">
        <v>76</v>
      </c>
      <c r="C43" s="28">
        <v>45509</v>
      </c>
      <c r="D43" s="29">
        <v>46046</v>
      </c>
      <c r="E43" s="30">
        <v>30.1</v>
      </c>
      <c r="F43" s="32" t="s">
        <v>48</v>
      </c>
      <c r="G43" s="30">
        <v>31.61</v>
      </c>
      <c r="H43" s="32" t="s">
        <v>48</v>
      </c>
      <c r="I43" s="35" t="s">
        <v>29</v>
      </c>
      <c r="J43" s="34"/>
      <c r="K43" s="34"/>
      <c r="L43" s="35">
        <f t="shared" si="16"/>
        <v>64178.400000000001</v>
      </c>
      <c r="M43" s="30">
        <f t="shared" si="17"/>
        <v>4909.6476000000002</v>
      </c>
      <c r="N43" s="30">
        <f t="shared" si="18"/>
        <v>16513.102319999998</v>
      </c>
      <c r="O43" s="30">
        <v>15722.28</v>
      </c>
      <c r="P43" s="30">
        <f t="shared" si="19"/>
        <v>128.35679999999999</v>
      </c>
      <c r="R43" s="30">
        <f t="shared" si="20"/>
        <v>101451.78671999999</v>
      </c>
      <c r="S43" s="27">
        <v>1650</v>
      </c>
      <c r="T43" s="30">
        <f t="shared" si="5"/>
        <v>61.485931345454539</v>
      </c>
    </row>
    <row r="44" spans="1:21" s="27" customFormat="1" x14ac:dyDescent="0.2">
      <c r="B44" s="27" t="s">
        <v>82</v>
      </c>
      <c r="C44" s="28">
        <v>45453</v>
      </c>
      <c r="D44" s="29">
        <v>45818</v>
      </c>
      <c r="E44" s="30">
        <v>24.69</v>
      </c>
      <c r="F44" s="32" t="s">
        <v>44</v>
      </c>
      <c r="G44" s="30">
        <v>25.93</v>
      </c>
      <c r="H44" s="32" t="s">
        <v>45</v>
      </c>
      <c r="I44" s="35" t="s">
        <v>29</v>
      </c>
      <c r="J44" s="34" t="s">
        <v>2</v>
      </c>
      <c r="K44" s="34"/>
      <c r="L44" s="35">
        <f t="shared" si="16"/>
        <v>51570.133333333331</v>
      </c>
      <c r="M44" s="30">
        <f t="shared" si="17"/>
        <v>3945.1151999999997</v>
      </c>
      <c r="N44" s="30">
        <f t="shared" si="18"/>
        <v>13268.995306666664</v>
      </c>
      <c r="O44" s="30">
        <v>16799.400000000001</v>
      </c>
      <c r="P44" s="30">
        <f t="shared" si="19"/>
        <v>103.14026666666666</v>
      </c>
      <c r="R44" s="30">
        <f t="shared" si="20"/>
        <v>85686.784106666673</v>
      </c>
      <c r="S44" s="27">
        <v>1650</v>
      </c>
      <c r="T44" s="30">
        <f t="shared" si="5"/>
        <v>51.931384307070708</v>
      </c>
    </row>
    <row r="45" spans="1:21" s="27" customFormat="1" x14ac:dyDescent="0.2">
      <c r="B45" s="27" t="s">
        <v>77</v>
      </c>
      <c r="C45" s="28">
        <v>44284</v>
      </c>
      <c r="D45" s="29">
        <v>46044</v>
      </c>
      <c r="E45" s="43">
        <v>38.49</v>
      </c>
      <c r="F45" s="32" t="s">
        <v>48</v>
      </c>
      <c r="G45" s="43">
        <v>40.409999999999997</v>
      </c>
      <c r="H45" s="32" t="s">
        <v>48</v>
      </c>
      <c r="I45" s="35" t="s">
        <v>29</v>
      </c>
      <c r="J45" s="34"/>
      <c r="K45" s="34"/>
      <c r="L45" s="35">
        <f t="shared" si="16"/>
        <v>82056</v>
      </c>
      <c r="M45" s="30">
        <f t="shared" si="17"/>
        <v>6277.2839999999997</v>
      </c>
      <c r="N45" s="30">
        <f t="shared" si="18"/>
        <v>21113.0088</v>
      </c>
      <c r="O45" s="30">
        <v>15765.48</v>
      </c>
      <c r="P45" s="30">
        <f t="shared" si="19"/>
        <v>164.11199999999999</v>
      </c>
      <c r="R45" s="30">
        <f t="shared" si="20"/>
        <v>125375.88479999999</v>
      </c>
      <c r="S45" s="27">
        <v>1650</v>
      </c>
      <c r="T45" s="30">
        <f t="shared" si="5"/>
        <v>75.985384727272717</v>
      </c>
    </row>
    <row r="46" spans="1:21" s="27" customFormat="1" x14ac:dyDescent="0.2">
      <c r="B46" s="27" t="s">
        <v>76</v>
      </c>
      <c r="C46" s="28">
        <v>45670</v>
      </c>
      <c r="D46" s="29">
        <v>46035</v>
      </c>
      <c r="E46" s="30">
        <v>33.19</v>
      </c>
      <c r="F46" s="32" t="s">
        <v>57</v>
      </c>
      <c r="G46" s="30">
        <v>34.85</v>
      </c>
      <c r="H46" s="32" t="s">
        <v>23</v>
      </c>
      <c r="I46" s="35" t="s">
        <v>29</v>
      </c>
      <c r="J46" s="34"/>
      <c r="K46" s="34"/>
      <c r="L46" s="35">
        <f t="shared" si="16"/>
        <v>71049.333333333343</v>
      </c>
      <c r="M46" s="30">
        <f t="shared" si="17"/>
        <v>5435.2740000000003</v>
      </c>
      <c r="N46" s="30">
        <f t="shared" si="18"/>
        <v>18280.993466666667</v>
      </c>
      <c r="O46" s="30">
        <v>15746.04</v>
      </c>
      <c r="P46" s="30">
        <f t="shared" si="19"/>
        <v>142.0986666666667</v>
      </c>
      <c r="R46" s="30">
        <f t="shared" si="20"/>
        <v>110653.7394666667</v>
      </c>
      <c r="S46" s="27">
        <v>1650</v>
      </c>
      <c r="T46" s="30">
        <f t="shared" si="5"/>
        <v>67.062872404040419</v>
      </c>
    </row>
    <row r="47" spans="1:21" s="27" customFormat="1" x14ac:dyDescent="0.2">
      <c r="B47" s="27" t="s">
        <v>76</v>
      </c>
      <c r="C47" s="28">
        <v>45950</v>
      </c>
      <c r="D47" s="29">
        <v>46315</v>
      </c>
      <c r="E47" s="30"/>
      <c r="F47" s="32" t="s">
        <v>32</v>
      </c>
      <c r="G47" s="30">
        <v>30.1</v>
      </c>
      <c r="H47" s="32" t="s">
        <v>27</v>
      </c>
      <c r="I47" s="35" t="s">
        <v>29</v>
      </c>
      <c r="J47" s="34"/>
      <c r="K47" s="34"/>
      <c r="L47" s="35">
        <f t="shared" si="16"/>
        <v>46956.000000000007</v>
      </c>
      <c r="M47" s="30">
        <f t="shared" si="17"/>
        <v>3592.1340000000005</v>
      </c>
      <c r="N47" s="30">
        <f t="shared" si="18"/>
        <v>12081.7788</v>
      </c>
      <c r="O47" s="30">
        <v>15746.04</v>
      </c>
      <c r="P47" s="30">
        <f t="shared" si="19"/>
        <v>93.91200000000002</v>
      </c>
      <c r="R47" s="30">
        <f t="shared" si="20"/>
        <v>78469.864799999996</v>
      </c>
      <c r="S47" s="27">
        <v>1650</v>
      </c>
      <c r="T47" s="30">
        <f t="shared" si="5"/>
        <v>47.557493818181818</v>
      </c>
    </row>
    <row r="48" spans="1:21" s="27" customFormat="1" x14ac:dyDescent="0.2">
      <c r="A48" s="44"/>
      <c r="B48" s="44" t="s">
        <v>82</v>
      </c>
      <c r="C48" s="28">
        <v>45862</v>
      </c>
      <c r="D48" s="29">
        <v>46227</v>
      </c>
      <c r="E48" s="30"/>
      <c r="F48" s="32"/>
      <c r="G48" s="30">
        <v>23.52</v>
      </c>
      <c r="H48" s="32" t="s">
        <v>44</v>
      </c>
      <c r="I48" s="35" t="s">
        <v>29</v>
      </c>
      <c r="L48" s="35">
        <f t="shared" si="16"/>
        <v>44844.799999999996</v>
      </c>
      <c r="M48" s="30">
        <f t="shared" si="17"/>
        <v>3430.6271999999999</v>
      </c>
      <c r="N48" s="30">
        <f t="shared" si="18"/>
        <v>11538.567039999998</v>
      </c>
      <c r="O48" s="30"/>
      <c r="P48" s="30">
        <f t="shared" si="19"/>
        <v>89.689599999999999</v>
      </c>
      <c r="R48" s="30">
        <f t="shared" si="20"/>
        <v>59903.683839999998</v>
      </c>
      <c r="S48" s="27">
        <v>1650</v>
      </c>
      <c r="T48" s="30">
        <f t="shared" si="5"/>
        <v>36.305262933333331</v>
      </c>
    </row>
    <row r="49" spans="1:21" x14ac:dyDescent="0.2">
      <c r="A49" s="17"/>
      <c r="E49" s="3"/>
      <c r="F49" s="4"/>
      <c r="G49" s="3"/>
      <c r="L49" s="5"/>
      <c r="M49" s="3"/>
      <c r="N49" s="3"/>
      <c r="R49" s="30">
        <f>SUM(R39:R48)</f>
        <v>1001413.1596533332</v>
      </c>
      <c r="T49" s="30" t="s">
        <v>24</v>
      </c>
    </row>
    <row r="50" spans="1:21" x14ac:dyDescent="0.2">
      <c r="A50" s="2" t="s">
        <v>92</v>
      </c>
      <c r="R50" s="30">
        <f>SUM(R49,R37,R25,R14)</f>
        <v>4026547.6362773329</v>
      </c>
      <c r="U50" s="49">
        <f>SUM(U6:U49)</f>
        <v>1</v>
      </c>
    </row>
  </sheetData>
  <pageMargins left="0.25" right="0.25" top="0.75" bottom="0.75" header="0.3" footer="0.3"/>
  <pageSetup scale="63" orientation="landscape" r:id="rId1"/>
  <headerFooter>
    <oddFooter>&amp;Z&amp;F&amp;RPage &amp;P</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C335-7106-442E-9F14-C547C444FCE3}">
  <dimension ref="A1:Z11"/>
  <sheetViews>
    <sheetView workbookViewId="0">
      <selection activeCell="U14" sqref="U14"/>
    </sheetView>
  </sheetViews>
  <sheetFormatPr defaultRowHeight="15" x14ac:dyDescent="0.25"/>
  <cols>
    <col min="1" max="1" width="17.28515625" bestFit="1" customWidth="1"/>
    <col min="2" max="2" width="28" customWidth="1"/>
    <col min="3" max="4" width="9.85546875" hidden="1" customWidth="1"/>
    <col min="5" max="5" width="8.42578125" hidden="1" customWidth="1"/>
    <col min="6" max="6" width="3.28515625" hidden="1" customWidth="1"/>
    <col min="7" max="7" width="8.42578125" hidden="1" customWidth="1"/>
    <col min="8" max="8" width="2.140625" hidden="1" customWidth="1"/>
    <col min="9" max="9" width="3.7109375" hidden="1" customWidth="1"/>
    <col min="10" max="11" width="0" hidden="1" customWidth="1"/>
    <col min="12" max="12" width="13.5703125" hidden="1" customWidth="1"/>
    <col min="13" max="13" width="11.28515625" hidden="1" customWidth="1"/>
    <col min="14" max="15" width="12.28515625" hidden="1" customWidth="1"/>
    <col min="16" max="16" width="9.5703125" hidden="1" customWidth="1"/>
    <col min="17" max="17" width="4.42578125" hidden="1" customWidth="1"/>
    <col min="18" max="18" width="21" bestFit="1" customWidth="1"/>
    <col min="19" max="19" width="16.28515625" customWidth="1"/>
    <col min="20" max="20" width="14.5703125" customWidth="1"/>
    <col min="21" max="21" width="14.7109375" bestFit="1" customWidth="1"/>
    <col min="22" max="22" width="15.7109375" bestFit="1" customWidth="1"/>
    <col min="23" max="23" width="12.42578125" bestFit="1" customWidth="1"/>
    <col min="24" max="24" width="18" customWidth="1"/>
    <col min="25" max="25" width="8.42578125" customWidth="1"/>
    <col min="26" max="26" width="14.7109375" bestFit="1" customWidth="1"/>
  </cols>
  <sheetData>
    <row r="1" spans="1:26" x14ac:dyDescent="0.25">
      <c r="A1" t="s">
        <v>142</v>
      </c>
    </row>
    <row r="2" spans="1:26" x14ac:dyDescent="0.25">
      <c r="T2" t="s">
        <v>143</v>
      </c>
    </row>
    <row r="3" spans="1:26" s="6" customFormat="1" ht="64.900000000000006" customHeight="1" x14ac:dyDescent="0.25">
      <c r="A3" s="6" t="s">
        <v>24</v>
      </c>
      <c r="B3" s="83" t="s">
        <v>1</v>
      </c>
      <c r="C3" s="84"/>
      <c r="D3" s="84"/>
      <c r="E3" s="85"/>
      <c r="F3" s="86"/>
      <c r="G3" s="85"/>
      <c r="H3" s="86"/>
      <c r="I3" s="85"/>
      <c r="J3" s="83"/>
      <c r="K3" s="83"/>
      <c r="L3" s="85"/>
      <c r="M3" s="85"/>
      <c r="N3" s="85"/>
      <c r="O3" s="83"/>
      <c r="P3" s="85"/>
      <c r="Q3" s="83"/>
      <c r="R3" s="83" t="s">
        <v>94</v>
      </c>
      <c r="S3" s="87" t="s">
        <v>91</v>
      </c>
      <c r="T3" s="87" t="s">
        <v>125</v>
      </c>
      <c r="U3" s="85" t="s">
        <v>170</v>
      </c>
      <c r="V3" s="88" t="s">
        <v>166</v>
      </c>
      <c r="W3" s="83" t="s">
        <v>167</v>
      </c>
      <c r="X3" s="83"/>
      <c r="Y3" s="83" t="s">
        <v>122</v>
      </c>
      <c r="Z3" s="83"/>
    </row>
    <row r="4" spans="1:26" s="2" customFormat="1" x14ac:dyDescent="0.25">
      <c r="B4" s="89" t="s">
        <v>33</v>
      </c>
      <c r="C4" s="90">
        <v>44326</v>
      </c>
      <c r="D4" s="90">
        <v>46304</v>
      </c>
      <c r="E4" s="91">
        <v>41.5</v>
      </c>
      <c r="F4" s="92" t="s">
        <v>35</v>
      </c>
      <c r="G4" s="91">
        <v>43.57</v>
      </c>
      <c r="H4" s="92" t="s">
        <v>36</v>
      </c>
      <c r="I4" s="91" t="s">
        <v>29</v>
      </c>
      <c r="J4" s="89"/>
      <c r="K4" s="89"/>
      <c r="L4" s="91">
        <f>(E4*(F4/12)*2080)+(G4*(H4/12)*2080)</f>
        <v>89190.399999999994</v>
      </c>
      <c r="M4" s="91">
        <f>MIN(L4,176100)*0.062+(L4*0.0145)+MAX(0,(L4-200000))*0.009</f>
        <v>6823.0655999999999</v>
      </c>
      <c r="N4" s="91">
        <f>L4*0.2573</f>
        <v>22948.689919999997</v>
      </c>
      <c r="O4" s="91">
        <v>16849.080000000002</v>
      </c>
      <c r="P4" s="91">
        <f>L4*0.2%</f>
        <v>178.38079999999999</v>
      </c>
      <c r="Q4" s="89"/>
      <c r="R4" s="93">
        <f>SUM(L4:P4)</f>
        <v>135989.61632</v>
      </c>
      <c r="S4" s="89">
        <v>1650</v>
      </c>
      <c r="T4" s="89">
        <f>SUM(S4*0.6)</f>
        <v>990</v>
      </c>
      <c r="U4" s="93">
        <f t="shared" ref="U4:U8" si="0">SUM(R4/T4)</f>
        <v>137.36324880808081</v>
      </c>
      <c r="V4" s="94">
        <v>0.55000000000000004</v>
      </c>
      <c r="W4" s="94">
        <v>0.21</v>
      </c>
      <c r="X4" s="91">
        <f>(U4*(1+V4))*(1+W4)</f>
        <v>257.62477313955554</v>
      </c>
      <c r="Y4" s="89"/>
      <c r="Z4" s="89"/>
    </row>
    <row r="5" spans="1:26" s="2" customFormat="1" x14ac:dyDescent="0.25">
      <c r="A5" s="11"/>
      <c r="B5" s="95" t="s">
        <v>33</v>
      </c>
      <c r="C5" s="96">
        <v>45630</v>
      </c>
      <c r="D5" s="96">
        <v>46205</v>
      </c>
      <c r="E5" s="97">
        <v>50.44</v>
      </c>
      <c r="F5" s="98" t="s">
        <v>31</v>
      </c>
      <c r="G5" s="97">
        <v>50.44</v>
      </c>
      <c r="H5" s="98" t="s">
        <v>32</v>
      </c>
      <c r="I5" s="91" t="s">
        <v>29</v>
      </c>
      <c r="J5" s="89"/>
      <c r="K5" s="89"/>
      <c r="L5" s="91">
        <f>(E5*(F5/12)*2080)+(G5*(H5/12)*2080)</f>
        <v>104915.2</v>
      </c>
      <c r="M5" s="91">
        <f>MIN(L5,176100)*0.062+(L5*0.0145)+MAX(0,(L5-200000))*0.009</f>
        <v>8026.0128000000004</v>
      </c>
      <c r="N5" s="91">
        <f>L5*0.2573</f>
        <v>26994.680959999998</v>
      </c>
      <c r="O5" s="91">
        <v>237.12</v>
      </c>
      <c r="P5" s="91">
        <f>L5*0.2%</f>
        <v>209.8304</v>
      </c>
      <c r="Q5" s="89"/>
      <c r="R5" s="93">
        <f>SUM(L5:P5)</f>
        <v>140382.84416000001</v>
      </c>
      <c r="S5" s="89">
        <v>1650</v>
      </c>
      <c r="T5" s="89">
        <f>SUM(S5*0.6)</f>
        <v>990</v>
      </c>
      <c r="U5" s="93">
        <f t="shared" si="0"/>
        <v>141.80085268686869</v>
      </c>
      <c r="V5" s="94">
        <v>0.55000000000000004</v>
      </c>
      <c r="W5" s="94">
        <v>0.21</v>
      </c>
      <c r="X5" s="91">
        <f>(U5*(1+V5))*(1+W5)</f>
        <v>265.94749921422226</v>
      </c>
      <c r="Y5" s="89"/>
      <c r="Z5" s="89"/>
    </row>
    <row r="6" spans="1:26" s="2" customFormat="1" x14ac:dyDescent="0.25">
      <c r="A6" s="11"/>
      <c r="B6" s="95" t="s">
        <v>39</v>
      </c>
      <c r="C6" s="96">
        <v>44767</v>
      </c>
      <c r="D6" s="96">
        <v>46228</v>
      </c>
      <c r="E6" s="97">
        <v>40.46</v>
      </c>
      <c r="F6" s="98" t="s">
        <v>31</v>
      </c>
      <c r="G6" s="97">
        <v>40.46</v>
      </c>
      <c r="H6" s="98" t="s">
        <v>32</v>
      </c>
      <c r="I6" s="91" t="s">
        <v>29</v>
      </c>
      <c r="J6" s="89"/>
      <c r="K6" s="89"/>
      <c r="L6" s="91">
        <f>(E6*(F6/12)*2080)+(G6*(H6/12)*2080)</f>
        <v>84156.800000000003</v>
      </c>
      <c r="M6" s="91">
        <f>MIN(L6,176100)*0.062+(L6*0.0145)+MAX(0,(L6-200000))*0.009</f>
        <v>6437.9952000000003</v>
      </c>
      <c r="N6" s="91">
        <f>L6*0.2573</f>
        <v>21653.54464</v>
      </c>
      <c r="O6" s="91">
        <v>16840.439999999999</v>
      </c>
      <c r="P6" s="91">
        <f>L6*0.2%</f>
        <v>168.31360000000001</v>
      </c>
      <c r="Q6" s="89"/>
      <c r="R6" s="93">
        <f>SUM(L6:P6)</f>
        <v>129257.09344</v>
      </c>
      <c r="S6" s="89">
        <v>1650</v>
      </c>
      <c r="T6" s="89">
        <f>SUM(S6*0.6)</f>
        <v>990</v>
      </c>
      <c r="U6" s="93">
        <f t="shared" si="0"/>
        <v>130.56272064646464</v>
      </c>
      <c r="V6" s="94">
        <v>0.55000000000000004</v>
      </c>
      <c r="W6" s="94">
        <v>0.21</v>
      </c>
      <c r="X6" s="91">
        <f>(U6*(1+V6))*(1+W6)</f>
        <v>244.87038257244441</v>
      </c>
      <c r="Y6" s="89"/>
      <c r="Z6" s="89"/>
    </row>
    <row r="7" spans="1:26" s="2" customFormat="1" x14ac:dyDescent="0.25">
      <c r="A7" s="11"/>
      <c r="B7" s="95" t="s">
        <v>39</v>
      </c>
      <c r="C7" s="96">
        <v>43808</v>
      </c>
      <c r="D7" s="96">
        <v>46111</v>
      </c>
      <c r="E7" s="97">
        <v>38.53</v>
      </c>
      <c r="F7" s="98" t="s">
        <v>27</v>
      </c>
      <c r="G7" s="97">
        <v>40.46</v>
      </c>
      <c r="H7" s="98" t="s">
        <v>28</v>
      </c>
      <c r="I7" s="91" t="s">
        <v>29</v>
      </c>
      <c r="J7" s="89"/>
      <c r="K7" s="89"/>
      <c r="L7" s="91">
        <f>(E7*(F7/12)*2080)+(G7*(H7/12)*2080)</f>
        <v>81146</v>
      </c>
      <c r="M7" s="91">
        <f>MIN(L7,176100)*0.062+(L7*0.0145)+MAX(0,(L7-200000))*0.009</f>
        <v>6207.6689999999999</v>
      </c>
      <c r="N7" s="91">
        <f>L7*0.2573</f>
        <v>20878.8658</v>
      </c>
      <c r="O7" s="91">
        <v>16204.68</v>
      </c>
      <c r="P7" s="91">
        <f>L7*0.2%</f>
        <v>162.292</v>
      </c>
      <c r="Q7" s="89"/>
      <c r="R7" s="93">
        <f>SUM(L7:P7)</f>
        <v>124599.50679999999</v>
      </c>
      <c r="S7" s="89">
        <v>1650</v>
      </c>
      <c r="T7" s="89">
        <f>SUM(S7*0.6)</f>
        <v>990</v>
      </c>
      <c r="U7" s="93">
        <f t="shared" si="0"/>
        <v>125.85808767676767</v>
      </c>
      <c r="V7" s="94">
        <v>0.55000000000000004</v>
      </c>
      <c r="W7" s="94">
        <v>0.21</v>
      </c>
      <c r="X7" s="91">
        <f>(U7*(1+V7))*(1+W7)</f>
        <v>236.04684343777774</v>
      </c>
      <c r="Y7" s="89"/>
      <c r="Z7" s="89"/>
    </row>
    <row r="8" spans="1:26" s="2" customFormat="1" x14ac:dyDescent="0.25">
      <c r="A8" s="11" t="s">
        <v>24</v>
      </c>
      <c r="B8" s="95" t="s">
        <v>42</v>
      </c>
      <c r="C8" s="96">
        <v>45481</v>
      </c>
      <c r="D8" s="96">
        <v>46211</v>
      </c>
      <c r="E8" s="97">
        <v>36.68</v>
      </c>
      <c r="F8" s="98" t="s">
        <v>31</v>
      </c>
      <c r="G8" s="97">
        <v>36.68</v>
      </c>
      <c r="H8" s="98" t="s">
        <v>32</v>
      </c>
      <c r="I8" s="91" t="s">
        <v>29</v>
      </c>
      <c r="J8" s="89"/>
      <c r="K8" s="89"/>
      <c r="L8" s="91">
        <f>(E8*(F8/12)*2080)+(G8*(H8/12)*2080)</f>
        <v>76294.399999999994</v>
      </c>
      <c r="M8" s="91">
        <f>MIN(L8,176100)*0.062+(L8*0.0145)+MAX(0,(L8-200000))*0.009</f>
        <v>5836.5215999999991</v>
      </c>
      <c r="N8" s="91">
        <f>L8*0.2573</f>
        <v>19630.549119999996</v>
      </c>
      <c r="O8" s="91">
        <v>15741.72</v>
      </c>
      <c r="P8" s="91">
        <f>L8*0.2%</f>
        <v>152.58879999999999</v>
      </c>
      <c r="Q8" s="89"/>
      <c r="R8" s="93">
        <f>SUM(L8:P8)</f>
        <v>117655.77951999998</v>
      </c>
      <c r="S8" s="89">
        <v>1650</v>
      </c>
      <c r="T8" s="89">
        <f>SUM(S8*0.6)</f>
        <v>990</v>
      </c>
      <c r="U8" s="93">
        <f t="shared" si="0"/>
        <v>118.84422173737372</v>
      </c>
      <c r="V8" s="94">
        <v>0.55000000000000004</v>
      </c>
      <c r="W8" s="94">
        <v>0.21</v>
      </c>
      <c r="X8" s="91">
        <f>(U8*(1+V8))*(1+W8)</f>
        <v>222.8923378684444</v>
      </c>
      <c r="Y8" s="91" t="s">
        <v>24</v>
      </c>
      <c r="Z8" s="89"/>
    </row>
    <row r="9" spans="1:26" s="2" customFormat="1" x14ac:dyDescent="0.25">
      <c r="A9" s="11"/>
      <c r="B9" s="95"/>
      <c r="C9" s="96"/>
      <c r="D9" s="96"/>
      <c r="E9" s="97"/>
      <c r="F9" s="98"/>
      <c r="G9" s="97"/>
      <c r="H9" s="98"/>
      <c r="I9" s="91"/>
      <c r="J9" s="89"/>
      <c r="K9" s="89"/>
      <c r="L9" s="91"/>
      <c r="M9" s="91"/>
      <c r="N9" s="91"/>
      <c r="O9" s="91"/>
      <c r="P9" s="91"/>
      <c r="Q9" s="89"/>
      <c r="R9" s="93">
        <f>SUM(R4:R8)</f>
        <v>647884.84023999993</v>
      </c>
      <c r="S9" s="89">
        <f>SUM(S4:S8)</f>
        <v>8250</v>
      </c>
      <c r="T9" s="89">
        <f>SUM(T4:T8)</f>
        <v>4950</v>
      </c>
      <c r="U9" s="93" t="s">
        <v>24</v>
      </c>
      <c r="V9" s="89"/>
      <c r="W9" s="91"/>
      <c r="X9" s="91">
        <f>SUM(X4:X8)</f>
        <v>1227.3818362324444</v>
      </c>
      <c r="Y9" s="89">
        <v>5</v>
      </c>
      <c r="Z9" s="91">
        <f>SUM(X9/Y9)</f>
        <v>245.47636724648888</v>
      </c>
    </row>
    <row r="11" spans="1:26" x14ac:dyDescent="0.25">
      <c r="T11">
        <f>SUM(S9-T9)</f>
        <v>3300</v>
      </c>
      <c r="U11" t="s">
        <v>154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9E2C5-A1CF-4748-B1B0-AB3CF1C72687}">
  <dimension ref="A1:J16"/>
  <sheetViews>
    <sheetView workbookViewId="0">
      <selection activeCell="N14" sqref="N14"/>
    </sheetView>
  </sheetViews>
  <sheetFormatPr defaultColWidth="8.85546875" defaultRowHeight="14.25" x14ac:dyDescent="0.2"/>
  <cols>
    <col min="1" max="1" width="28.85546875" style="2" customWidth="1"/>
    <col min="2" max="2" width="16.42578125" style="2" customWidth="1"/>
    <col min="3" max="3" width="18" style="2" customWidth="1"/>
    <col min="4" max="4" width="11.28515625" style="2" bestFit="1" customWidth="1"/>
    <col min="5" max="6" width="9.5703125" style="2" bestFit="1" customWidth="1"/>
    <col min="7" max="7" width="9" style="2" bestFit="1" customWidth="1"/>
    <col min="8" max="8" width="11.28515625" style="2" bestFit="1" customWidth="1"/>
    <col min="9" max="9" width="13.140625" style="2" customWidth="1"/>
    <col min="10" max="16384" width="8.85546875" style="2"/>
  </cols>
  <sheetData>
    <row r="1" spans="1:10" x14ac:dyDescent="0.2">
      <c r="A1" s="2" t="s">
        <v>130</v>
      </c>
    </row>
    <row r="2" spans="1:10" x14ac:dyDescent="0.2">
      <c r="A2" s="2" t="s">
        <v>24</v>
      </c>
    </row>
    <row r="3" spans="1:10" x14ac:dyDescent="0.2">
      <c r="A3" s="2" t="s">
        <v>123</v>
      </c>
      <c r="B3" s="2" t="s">
        <v>131</v>
      </c>
      <c r="C3" s="2" t="s">
        <v>24</v>
      </c>
      <c r="D3" s="2" t="s">
        <v>132</v>
      </c>
      <c r="E3" s="2" t="s">
        <v>133</v>
      </c>
      <c r="F3" s="2" t="s">
        <v>134</v>
      </c>
      <c r="G3" s="2" t="s">
        <v>135</v>
      </c>
      <c r="H3" s="2" t="s">
        <v>136</v>
      </c>
    </row>
    <row r="4" spans="1:10" x14ac:dyDescent="0.2">
      <c r="A4" s="2" t="s">
        <v>137</v>
      </c>
      <c r="B4" s="2">
        <v>30</v>
      </c>
      <c r="C4" s="2">
        <v>128.75</v>
      </c>
      <c r="H4" s="50">
        <f>SUM(C4*B4)</f>
        <v>3862.5</v>
      </c>
    </row>
    <row r="5" spans="1:10" x14ac:dyDescent="0.2">
      <c r="A5" s="2" t="s">
        <v>138</v>
      </c>
      <c r="B5" s="2">
        <v>30</v>
      </c>
      <c r="C5" s="3">
        <v>245.48</v>
      </c>
      <c r="H5" s="3">
        <f>SUM(C5*B5)</f>
        <v>7364.4</v>
      </c>
      <c r="I5" s="54">
        <f>SUM((H4/H5)-1)*-1</f>
        <v>0.47551735375590676</v>
      </c>
      <c r="J5" s="2" t="s">
        <v>139</v>
      </c>
    </row>
    <row r="7" spans="1:10" x14ac:dyDescent="0.2">
      <c r="A7" s="2" t="s">
        <v>140</v>
      </c>
      <c r="B7" s="3">
        <f>SUM('Planning Overhead'!E9)</f>
        <v>1560240.1659999997</v>
      </c>
      <c r="C7" s="3">
        <f>SUM(D7*C5)</f>
        <v>897229.39999999991</v>
      </c>
      <c r="D7" s="2">
        <v>3655</v>
      </c>
      <c r="E7" s="2" t="s">
        <v>152</v>
      </c>
      <c r="I7" s="54">
        <f>SUM((C7/B7)-1)*-1</f>
        <v>0.42494148045154223</v>
      </c>
      <c r="J7" s="2" t="s">
        <v>139</v>
      </c>
    </row>
    <row r="8" spans="1:10" x14ac:dyDescent="0.2">
      <c r="A8" s="2" t="s">
        <v>141</v>
      </c>
      <c r="B8" s="3" cm="1">
        <f t="array" ref="B8:B9">SUM('[1]Positions by Division'!R11)+'[1]Positions by Division'!R4:R5+'[1]Positions by Division'!R6+'[1]Positions by Division'!R8+'Indirect  Rate'!O5</f>
        <v>1661156.5677333332</v>
      </c>
      <c r="C8" s="50">
        <f>SUM(3295*C4)</f>
        <v>424231.25</v>
      </c>
      <c r="I8" s="54" t="s">
        <v>24</v>
      </c>
    </row>
    <row r="9" spans="1:10" hidden="1" x14ac:dyDescent="0.2">
      <c r="B9" s="2">
        <v>1595936.7561066668</v>
      </c>
    </row>
    <row r="12" spans="1:10" x14ac:dyDescent="0.2">
      <c r="E12" s="64"/>
    </row>
    <row r="13" spans="1:10" x14ac:dyDescent="0.2">
      <c r="E13" s="64"/>
    </row>
    <row r="14" spans="1:10" x14ac:dyDescent="0.2">
      <c r="E14" s="64"/>
    </row>
    <row r="16" spans="1:10" x14ac:dyDescent="0.2">
      <c r="E16" s="6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B4218-64EF-43C3-A793-528D42B4E4BD}">
  <dimension ref="A1:Y37"/>
  <sheetViews>
    <sheetView workbookViewId="0">
      <selection activeCell="Y14" sqref="Y14"/>
    </sheetView>
  </sheetViews>
  <sheetFormatPr defaultRowHeight="15" x14ac:dyDescent="0.25"/>
  <cols>
    <col min="1" max="1" width="25.5703125" bestFit="1" customWidth="1"/>
    <col min="2" max="2" width="21.42578125" bestFit="1" customWidth="1"/>
    <col min="3" max="4" width="11" hidden="1" customWidth="1"/>
    <col min="5" max="5" width="8.42578125" hidden="1" customWidth="1"/>
    <col min="6" max="6" width="3.28515625" hidden="1" customWidth="1"/>
    <col min="7" max="7" width="8.42578125" hidden="1" customWidth="1"/>
    <col min="8" max="8" width="3.28515625" hidden="1" customWidth="1"/>
    <col min="9" max="9" width="4" hidden="1" customWidth="1"/>
    <col min="10" max="10" width="2.28515625" hidden="1" customWidth="1"/>
    <col min="11" max="11" width="0" hidden="1" customWidth="1"/>
    <col min="12" max="12" width="13.5703125" hidden="1" customWidth="1"/>
    <col min="13" max="13" width="11.28515625" hidden="1" customWidth="1"/>
    <col min="14" max="15" width="12.28515625" hidden="1" customWidth="1"/>
    <col min="16" max="16" width="9.5703125" hidden="1" customWidth="1"/>
    <col min="17" max="17" width="5.42578125" hidden="1" customWidth="1"/>
    <col min="18" max="18" width="15.28515625" bestFit="1" customWidth="1"/>
    <col min="19" max="19" width="8.7109375" customWidth="1"/>
    <col min="20" max="20" width="17.28515625" customWidth="1"/>
    <col min="21" max="21" width="9.85546875" customWidth="1"/>
    <col min="22" max="22" width="16.5703125" customWidth="1"/>
    <col min="23" max="24" width="13.5703125" bestFit="1" customWidth="1"/>
    <col min="25" max="25" width="10.7109375" customWidth="1"/>
  </cols>
  <sheetData>
    <row r="1" spans="1:25" x14ac:dyDescent="0.25">
      <c r="A1" t="s">
        <v>113</v>
      </c>
    </row>
    <row r="2" spans="1:25" ht="1.9" customHeight="1" x14ac:dyDescent="0.25"/>
    <row r="3" spans="1:25" s="53" customFormat="1" ht="45" customHeight="1" x14ac:dyDescent="0.2">
      <c r="A3" s="53" t="s">
        <v>1</v>
      </c>
      <c r="C3" s="56"/>
      <c r="D3" s="57"/>
      <c r="E3" s="58"/>
      <c r="F3" s="59"/>
      <c r="G3" s="58"/>
      <c r="H3" s="59"/>
      <c r="I3" s="60"/>
      <c r="J3" s="61"/>
      <c r="K3" s="61"/>
      <c r="L3" s="60"/>
      <c r="M3" s="58"/>
      <c r="N3" s="58"/>
      <c r="P3" s="58"/>
      <c r="R3" s="53" t="s">
        <v>94</v>
      </c>
      <c r="S3" s="53" t="s">
        <v>114</v>
      </c>
      <c r="T3" s="58" t="s">
        <v>115</v>
      </c>
      <c r="U3" s="62" t="s">
        <v>116</v>
      </c>
      <c r="V3" s="53" t="s">
        <v>117</v>
      </c>
      <c r="W3" s="53" t="s">
        <v>120</v>
      </c>
      <c r="X3" s="53" t="s">
        <v>121</v>
      </c>
      <c r="Y3" s="53" t="s">
        <v>118</v>
      </c>
    </row>
    <row r="4" spans="1:25" s="2" customFormat="1" ht="14.25" x14ac:dyDescent="0.2">
      <c r="A4" s="11" t="s">
        <v>25</v>
      </c>
      <c r="B4" s="2" t="s">
        <v>26</v>
      </c>
      <c r="C4" s="12">
        <v>45782</v>
      </c>
      <c r="D4" s="13">
        <v>46147</v>
      </c>
      <c r="E4" s="3">
        <v>19.760000000000002</v>
      </c>
      <c r="F4" s="4" t="s">
        <v>27</v>
      </c>
      <c r="G4" s="3">
        <v>20.75</v>
      </c>
      <c r="H4" s="4" t="s">
        <v>28</v>
      </c>
      <c r="I4" s="5" t="s">
        <v>29</v>
      </c>
      <c r="J4" s="1"/>
      <c r="K4" s="1"/>
      <c r="L4" s="5">
        <f t="shared" ref="L4:L12" si="0">(E4*(F4/12)*2080)+(G4*(H4/12)*2080)</f>
        <v>41615.600000000006</v>
      </c>
      <c r="M4" s="3">
        <f t="shared" ref="M4:M12" si="1">MIN(L4,176100)*0.062+(L4*0.0145)+MAX(0,(L4-200000))*0.009</f>
        <v>3183.5934000000007</v>
      </c>
      <c r="N4" s="3">
        <f t="shared" ref="N4:N12" si="2">L4*0.2573</f>
        <v>10707.693880000001</v>
      </c>
      <c r="O4" s="3">
        <v>18000</v>
      </c>
      <c r="P4" s="3">
        <f t="shared" ref="P4:P12" si="3">L4*0.2%</f>
        <v>83.231200000000015</v>
      </c>
      <c r="R4" s="30">
        <f t="shared" ref="R4:R12" si="4">SUM(L4:P4)</f>
        <v>73590.11847999999</v>
      </c>
      <c r="S4" s="49">
        <v>0.25</v>
      </c>
      <c r="T4" s="30">
        <f>SUM(S4*R4)</f>
        <v>18397.529619999998</v>
      </c>
      <c r="U4" s="49">
        <v>0.75</v>
      </c>
      <c r="V4" s="3">
        <f>SUM(U4*R4)</f>
        <v>55192.588859999989</v>
      </c>
    </row>
    <row r="5" spans="1:25" s="2" customFormat="1" ht="14.25" x14ac:dyDescent="0.2">
      <c r="A5" s="2" t="s">
        <v>34</v>
      </c>
      <c r="B5" s="2" t="s">
        <v>33</v>
      </c>
      <c r="C5" s="12">
        <v>44326</v>
      </c>
      <c r="D5" s="13">
        <v>46304</v>
      </c>
      <c r="E5" s="3">
        <v>41.5</v>
      </c>
      <c r="F5" s="4" t="s">
        <v>35</v>
      </c>
      <c r="G5" s="3">
        <v>43.57</v>
      </c>
      <c r="H5" s="4" t="s">
        <v>36</v>
      </c>
      <c r="I5" s="5" t="s">
        <v>29</v>
      </c>
      <c r="J5" s="1"/>
      <c r="K5" s="1"/>
      <c r="L5" s="5">
        <f t="shared" si="0"/>
        <v>89190.399999999994</v>
      </c>
      <c r="M5" s="3">
        <f t="shared" si="1"/>
        <v>6823.0655999999999</v>
      </c>
      <c r="N5" s="3">
        <f t="shared" si="2"/>
        <v>22948.689919999997</v>
      </c>
      <c r="O5" s="3">
        <v>16849.080000000002</v>
      </c>
      <c r="P5" s="3">
        <f t="shared" si="3"/>
        <v>178.38079999999999</v>
      </c>
      <c r="R5" s="30">
        <f t="shared" si="4"/>
        <v>135989.61632</v>
      </c>
      <c r="S5" s="49">
        <v>0.75</v>
      </c>
      <c r="T5" s="30">
        <f t="shared" ref="T5:T12" si="5">SUM(S5*R5)</f>
        <v>101992.21223999999</v>
      </c>
      <c r="U5" s="49">
        <v>0.25</v>
      </c>
      <c r="V5" s="3">
        <f t="shared" ref="V5:V12" si="6">SUM(U5*R5)</f>
        <v>33997.40408</v>
      </c>
    </row>
    <row r="6" spans="1:25" s="2" customFormat="1" ht="14.25" x14ac:dyDescent="0.2">
      <c r="A6" s="11" t="s">
        <v>37</v>
      </c>
      <c r="B6" s="11" t="s">
        <v>33</v>
      </c>
      <c r="C6" s="15">
        <v>45630</v>
      </c>
      <c r="D6" s="14">
        <v>46205</v>
      </c>
      <c r="E6" s="16">
        <v>50.44</v>
      </c>
      <c r="F6" s="24" t="s">
        <v>31</v>
      </c>
      <c r="G6" s="16">
        <v>50.44</v>
      </c>
      <c r="H6" s="24" t="s">
        <v>32</v>
      </c>
      <c r="I6" s="5" t="s">
        <v>29</v>
      </c>
      <c r="J6" s="1"/>
      <c r="K6" s="1"/>
      <c r="L6" s="5">
        <f t="shared" si="0"/>
        <v>104915.2</v>
      </c>
      <c r="M6" s="3">
        <f t="shared" si="1"/>
        <v>8026.0128000000004</v>
      </c>
      <c r="N6" s="3">
        <f t="shared" si="2"/>
        <v>26994.680959999998</v>
      </c>
      <c r="O6" s="3">
        <v>237.12</v>
      </c>
      <c r="P6" s="3">
        <f t="shared" si="3"/>
        <v>209.8304</v>
      </c>
      <c r="R6" s="30">
        <f t="shared" si="4"/>
        <v>140382.84416000001</v>
      </c>
      <c r="S6" s="49">
        <v>0.75</v>
      </c>
      <c r="T6" s="30">
        <f t="shared" si="5"/>
        <v>105287.13312000001</v>
      </c>
      <c r="U6" s="49">
        <v>0.25</v>
      </c>
      <c r="V6" s="3">
        <f t="shared" si="6"/>
        <v>35095.711040000002</v>
      </c>
    </row>
    <row r="7" spans="1:25" s="2" customFormat="1" ht="14.25" x14ac:dyDescent="0.2">
      <c r="A7" s="11" t="s">
        <v>38</v>
      </c>
      <c r="B7" s="11" t="s">
        <v>39</v>
      </c>
      <c r="C7" s="15">
        <v>44767</v>
      </c>
      <c r="D7" s="14">
        <v>46228</v>
      </c>
      <c r="E7" s="16">
        <v>40.46</v>
      </c>
      <c r="F7" s="24" t="s">
        <v>31</v>
      </c>
      <c r="G7" s="16">
        <v>40.46</v>
      </c>
      <c r="H7" s="24" t="s">
        <v>32</v>
      </c>
      <c r="I7" s="5" t="s">
        <v>29</v>
      </c>
      <c r="J7" s="1"/>
      <c r="K7" s="1"/>
      <c r="L7" s="5">
        <f t="shared" si="0"/>
        <v>84156.800000000003</v>
      </c>
      <c r="M7" s="3">
        <f t="shared" si="1"/>
        <v>6437.9952000000003</v>
      </c>
      <c r="N7" s="3">
        <f t="shared" si="2"/>
        <v>21653.54464</v>
      </c>
      <c r="O7" s="3">
        <v>16840.439999999999</v>
      </c>
      <c r="P7" s="3">
        <f t="shared" si="3"/>
        <v>168.31360000000001</v>
      </c>
      <c r="R7" s="30">
        <f t="shared" si="4"/>
        <v>129257.09344</v>
      </c>
      <c r="S7" s="49">
        <v>0.75</v>
      </c>
      <c r="T7" s="30">
        <f t="shared" si="5"/>
        <v>96942.820080000005</v>
      </c>
      <c r="U7" s="49">
        <v>0.25</v>
      </c>
      <c r="V7" s="3">
        <f t="shared" si="6"/>
        <v>32314.273359999999</v>
      </c>
    </row>
    <row r="8" spans="1:25" s="2" customFormat="1" ht="14.25" x14ac:dyDescent="0.2">
      <c r="A8" s="11" t="s">
        <v>40</v>
      </c>
      <c r="B8" s="11" t="s">
        <v>39</v>
      </c>
      <c r="C8" s="15">
        <v>43808</v>
      </c>
      <c r="D8" s="14">
        <v>46111</v>
      </c>
      <c r="E8" s="16">
        <v>38.53</v>
      </c>
      <c r="F8" s="24" t="s">
        <v>27</v>
      </c>
      <c r="G8" s="16">
        <v>40.46</v>
      </c>
      <c r="H8" s="24" t="s">
        <v>28</v>
      </c>
      <c r="I8" s="5" t="s">
        <v>29</v>
      </c>
      <c r="J8" s="1"/>
      <c r="K8" s="1"/>
      <c r="L8" s="5">
        <f t="shared" si="0"/>
        <v>81146</v>
      </c>
      <c r="M8" s="3">
        <f t="shared" si="1"/>
        <v>6207.6689999999999</v>
      </c>
      <c r="N8" s="3">
        <f t="shared" si="2"/>
        <v>20878.8658</v>
      </c>
      <c r="O8" s="3">
        <v>16204.68</v>
      </c>
      <c r="P8" s="3">
        <f t="shared" si="3"/>
        <v>162.292</v>
      </c>
      <c r="R8" s="30">
        <f t="shared" si="4"/>
        <v>124599.50679999999</v>
      </c>
      <c r="S8" s="49">
        <v>0.75</v>
      </c>
      <c r="T8" s="30">
        <f t="shared" si="5"/>
        <v>93449.630099999995</v>
      </c>
      <c r="U8" s="49">
        <v>0.25</v>
      </c>
      <c r="V8" s="3">
        <f t="shared" si="6"/>
        <v>31149.876699999997</v>
      </c>
    </row>
    <row r="9" spans="1:25" s="2" customFormat="1" ht="14.25" x14ac:dyDescent="0.2">
      <c r="A9" s="11" t="s">
        <v>41</v>
      </c>
      <c r="B9" s="11" t="s">
        <v>42</v>
      </c>
      <c r="C9" s="15">
        <v>45481</v>
      </c>
      <c r="D9" s="14">
        <v>46211</v>
      </c>
      <c r="E9" s="16">
        <v>36.68</v>
      </c>
      <c r="F9" s="24" t="s">
        <v>31</v>
      </c>
      <c r="G9" s="16">
        <v>36.68</v>
      </c>
      <c r="H9" s="24" t="s">
        <v>32</v>
      </c>
      <c r="I9" s="5" t="s">
        <v>29</v>
      </c>
      <c r="J9" s="1"/>
      <c r="K9" s="1"/>
      <c r="L9" s="5">
        <f t="shared" si="0"/>
        <v>76294.399999999994</v>
      </c>
      <c r="M9" s="3">
        <f t="shared" si="1"/>
        <v>5836.5215999999991</v>
      </c>
      <c r="N9" s="3">
        <f t="shared" si="2"/>
        <v>19630.549119999996</v>
      </c>
      <c r="O9" s="3">
        <v>15741.72</v>
      </c>
      <c r="P9" s="3">
        <f t="shared" si="3"/>
        <v>152.58879999999999</v>
      </c>
      <c r="R9" s="30">
        <f t="shared" si="4"/>
        <v>117655.77951999998</v>
      </c>
      <c r="S9" s="49">
        <v>0.75</v>
      </c>
      <c r="T9" s="30">
        <f t="shared" si="5"/>
        <v>88241.834639999986</v>
      </c>
      <c r="U9" s="49">
        <v>0.25</v>
      </c>
      <c r="V9" s="3">
        <f t="shared" si="6"/>
        <v>29413.944879999995</v>
      </c>
    </row>
    <row r="10" spans="1:25" s="2" customFormat="1" ht="14.25" x14ac:dyDescent="0.2">
      <c r="A10" s="11" t="s">
        <v>46</v>
      </c>
      <c r="B10" s="11" t="s">
        <v>47</v>
      </c>
      <c r="C10" s="15">
        <v>44929</v>
      </c>
      <c r="D10" s="14">
        <v>46025</v>
      </c>
      <c r="E10" s="16">
        <v>25.93</v>
      </c>
      <c r="F10" s="24" t="s">
        <v>48</v>
      </c>
      <c r="G10" s="16">
        <v>27.22</v>
      </c>
      <c r="H10" s="24" t="s">
        <v>48</v>
      </c>
      <c r="I10" s="5" t="s">
        <v>29</v>
      </c>
      <c r="J10" s="1"/>
      <c r="K10" s="1"/>
      <c r="L10" s="5">
        <f t="shared" si="0"/>
        <v>55276</v>
      </c>
      <c r="M10" s="3">
        <f t="shared" si="1"/>
        <v>4228.6140000000005</v>
      </c>
      <c r="N10" s="3">
        <f t="shared" si="2"/>
        <v>14222.514799999999</v>
      </c>
      <c r="O10" s="3">
        <v>16172.52</v>
      </c>
      <c r="P10" s="3">
        <f t="shared" si="3"/>
        <v>110.55200000000001</v>
      </c>
      <c r="R10" s="30">
        <f t="shared" si="4"/>
        <v>90010.200800000006</v>
      </c>
      <c r="S10" s="49">
        <v>0.5</v>
      </c>
      <c r="T10" s="30">
        <f t="shared" si="5"/>
        <v>45005.100400000003</v>
      </c>
      <c r="U10" s="49">
        <v>0.5</v>
      </c>
      <c r="V10" s="3">
        <f t="shared" si="6"/>
        <v>45005.100400000003</v>
      </c>
    </row>
    <row r="11" spans="1:25" s="2" customFormat="1" ht="14.25" x14ac:dyDescent="0.2">
      <c r="A11" s="11" t="s">
        <v>49</v>
      </c>
      <c r="B11" s="11" t="s">
        <v>47</v>
      </c>
      <c r="C11" s="15">
        <v>45544</v>
      </c>
      <c r="D11" s="14">
        <v>45909</v>
      </c>
      <c r="E11" s="16">
        <v>25.93</v>
      </c>
      <c r="F11" s="24" t="s">
        <v>28</v>
      </c>
      <c r="G11" s="16">
        <v>27.22</v>
      </c>
      <c r="H11" s="24" t="s">
        <v>27</v>
      </c>
      <c r="I11" s="5" t="s">
        <v>29</v>
      </c>
      <c r="J11" s="1"/>
      <c r="K11" s="1"/>
      <c r="L11" s="5">
        <f t="shared" si="0"/>
        <v>55946.799999999996</v>
      </c>
      <c r="M11" s="3">
        <f t="shared" si="1"/>
        <v>4279.9301999999998</v>
      </c>
      <c r="N11" s="3">
        <f t="shared" si="2"/>
        <v>14395.111639999997</v>
      </c>
      <c r="O11" s="3">
        <v>16805.64</v>
      </c>
      <c r="P11" s="3">
        <f t="shared" si="3"/>
        <v>111.89359999999999</v>
      </c>
      <c r="R11" s="30">
        <f t="shared" si="4"/>
        <v>91539.375439999989</v>
      </c>
      <c r="S11" s="49">
        <v>0.5</v>
      </c>
      <c r="T11" s="30">
        <f t="shared" si="5"/>
        <v>45769.687719999994</v>
      </c>
      <c r="U11" s="49">
        <v>0.5</v>
      </c>
      <c r="V11" s="3">
        <f t="shared" si="6"/>
        <v>45769.687719999994</v>
      </c>
    </row>
    <row r="12" spans="1:25" s="2" customFormat="1" ht="14.25" x14ac:dyDescent="0.2">
      <c r="A12" s="11" t="s">
        <v>50</v>
      </c>
      <c r="B12" s="11" t="s">
        <v>50</v>
      </c>
      <c r="C12" s="15">
        <v>45684</v>
      </c>
      <c r="D12" s="14"/>
      <c r="E12" s="16">
        <v>31.63</v>
      </c>
      <c r="F12" s="24" t="s">
        <v>31</v>
      </c>
      <c r="G12" s="16">
        <v>0</v>
      </c>
      <c r="H12" s="24" t="s">
        <v>32</v>
      </c>
      <c r="I12" s="5" t="s">
        <v>29</v>
      </c>
      <c r="J12" s="1"/>
      <c r="K12" s="1"/>
      <c r="L12" s="5">
        <f t="shared" si="0"/>
        <v>65790.399999999994</v>
      </c>
      <c r="M12" s="3">
        <f t="shared" si="1"/>
        <v>5032.9655999999995</v>
      </c>
      <c r="N12" s="3">
        <f t="shared" si="2"/>
        <v>16927.869919999997</v>
      </c>
      <c r="O12" s="3">
        <v>18000</v>
      </c>
      <c r="P12" s="3">
        <f t="shared" si="3"/>
        <v>131.58079999999998</v>
      </c>
      <c r="R12" s="30">
        <f t="shared" si="4"/>
        <v>105882.81631999998</v>
      </c>
      <c r="S12" s="49">
        <v>0.75</v>
      </c>
      <c r="T12" s="30">
        <f t="shared" si="5"/>
        <v>79412.112239999988</v>
      </c>
      <c r="U12" s="49">
        <v>0.25</v>
      </c>
      <c r="V12" s="3">
        <f t="shared" si="6"/>
        <v>26470.704079999996</v>
      </c>
    </row>
    <row r="13" spans="1:25" s="2" customFormat="1" ht="14.25" x14ac:dyDescent="0.2">
      <c r="A13" s="11"/>
      <c r="B13" s="11"/>
      <c r="C13" s="15"/>
      <c r="D13" s="14"/>
      <c r="E13" s="16"/>
      <c r="F13" s="24"/>
      <c r="G13" s="16"/>
      <c r="H13" s="24"/>
      <c r="I13" s="5"/>
      <c r="J13" s="1"/>
      <c r="K13" s="1"/>
      <c r="L13" s="5"/>
      <c r="M13" s="3"/>
      <c r="N13" s="3"/>
      <c r="O13" s="3"/>
      <c r="P13" s="3"/>
      <c r="R13" s="30">
        <f>SUM(R4:R12)</f>
        <v>1008907.3512799998</v>
      </c>
      <c r="T13" s="30">
        <f>SUM(T4:T12)</f>
        <v>674498.06016000011</v>
      </c>
      <c r="V13" s="3">
        <f>SUM(V4:V12)</f>
        <v>334409.29111999995</v>
      </c>
      <c r="W13" s="55" t="e">
        <f>SUM(#REF!)</f>
        <v>#REF!</v>
      </c>
      <c r="X13" s="3" t="e">
        <f>SUM(V13:W13)</f>
        <v>#REF!</v>
      </c>
      <c r="Y13" s="54" t="e">
        <f>SUM(#REF!)</f>
        <v>#REF!</v>
      </c>
    </row>
    <row r="14" spans="1:25" s="6" customFormat="1" ht="14.25" x14ac:dyDescent="0.2">
      <c r="A14" s="6" t="s">
        <v>89</v>
      </c>
      <c r="C14" s="7"/>
      <c r="D14" s="8"/>
      <c r="E14" s="9"/>
      <c r="F14" s="22"/>
      <c r="G14" s="9"/>
      <c r="H14" s="22"/>
      <c r="I14" s="10"/>
      <c r="J14" s="23"/>
      <c r="K14" s="23"/>
      <c r="L14" s="10">
        <f t="shared" ref="L14:L20" si="7">(E14*(F14/12)*2080)+(G14*(H14/12)*2080)</f>
        <v>0</v>
      </c>
      <c r="M14" s="9">
        <f t="shared" ref="M14:M24" si="8">MIN(L14,176100)*0.062+(L14*0.0145)+MAX(0,(L14-200000))*0.009</f>
        <v>0</v>
      </c>
      <c r="N14" s="9"/>
      <c r="P14" s="9"/>
      <c r="T14" s="9"/>
      <c r="U14" s="48"/>
      <c r="W14" s="6" t="s">
        <v>24</v>
      </c>
    </row>
    <row r="15" spans="1:25" s="27" customFormat="1" ht="14.25" x14ac:dyDescent="0.2">
      <c r="A15" s="36" t="s">
        <v>51</v>
      </c>
      <c r="B15" s="36" t="s">
        <v>52</v>
      </c>
      <c r="C15" s="37">
        <v>43045</v>
      </c>
      <c r="D15" s="38">
        <v>46140</v>
      </c>
      <c r="E15" s="39">
        <v>58.56</v>
      </c>
      <c r="F15" s="40" t="s">
        <v>53</v>
      </c>
      <c r="G15" s="39">
        <v>61.49</v>
      </c>
      <c r="H15" s="40" t="s">
        <v>54</v>
      </c>
      <c r="I15" s="41" t="s">
        <v>21</v>
      </c>
      <c r="J15" s="34"/>
      <c r="K15" s="34"/>
      <c r="L15" s="35">
        <f t="shared" si="7"/>
        <v>122820.53333333335</v>
      </c>
      <c r="M15" s="30">
        <f t="shared" si="8"/>
        <v>9395.7708000000021</v>
      </c>
      <c r="N15" s="30">
        <f t="shared" ref="N15:N24" si="9">L15*0.2573</f>
        <v>31601.723226666669</v>
      </c>
      <c r="O15" s="27">
        <v>16392.12</v>
      </c>
      <c r="P15" s="30">
        <f t="shared" ref="P15:P24" si="10">L15*0.2%</f>
        <v>245.64106666666672</v>
      </c>
      <c r="R15" s="30">
        <f t="shared" ref="R15:R24" si="11">SUM(L15:P15)</f>
        <v>180455.78842666667</v>
      </c>
      <c r="T15" s="30"/>
    </row>
    <row r="16" spans="1:25" s="2" customFormat="1" ht="14.25" x14ac:dyDescent="0.2">
      <c r="A16" s="2" t="s">
        <v>55</v>
      </c>
      <c r="B16" s="2" t="s">
        <v>56</v>
      </c>
      <c r="C16" s="12">
        <v>42226</v>
      </c>
      <c r="D16" s="13">
        <v>46354</v>
      </c>
      <c r="E16" s="3">
        <v>31.59</v>
      </c>
      <c r="F16" s="4" t="s">
        <v>57</v>
      </c>
      <c r="G16" s="3">
        <v>33.17</v>
      </c>
      <c r="H16" s="4" t="s">
        <v>23</v>
      </c>
      <c r="I16" s="5" t="s">
        <v>29</v>
      </c>
      <c r="J16" s="1"/>
      <c r="K16" s="5"/>
      <c r="L16" s="5">
        <f t="shared" si="7"/>
        <v>67624.266666666663</v>
      </c>
      <c r="M16" s="3">
        <f t="shared" si="8"/>
        <v>5173.2563999999993</v>
      </c>
      <c r="N16" s="3">
        <f t="shared" si="9"/>
        <v>17399.72381333333</v>
      </c>
      <c r="O16" s="3">
        <v>15748.2</v>
      </c>
      <c r="P16" s="3">
        <f t="shared" si="10"/>
        <v>135.24853333333334</v>
      </c>
      <c r="R16" s="30">
        <f t="shared" si="11"/>
        <v>106080.69541333332</v>
      </c>
      <c r="S16" s="27"/>
      <c r="T16" s="30"/>
    </row>
    <row r="17" spans="1:21" s="2" customFormat="1" ht="14.25" x14ac:dyDescent="0.2">
      <c r="A17" s="2" t="s">
        <v>58</v>
      </c>
      <c r="B17" s="2" t="s">
        <v>59</v>
      </c>
      <c r="C17" s="12">
        <v>44305</v>
      </c>
      <c r="D17" s="13">
        <v>46155</v>
      </c>
      <c r="E17" s="3">
        <v>38.479999999999997</v>
      </c>
      <c r="F17" s="4" t="s">
        <v>44</v>
      </c>
      <c r="G17" s="3">
        <v>39.43</v>
      </c>
      <c r="H17" s="4" t="s">
        <v>45</v>
      </c>
      <c r="I17" s="5" t="s">
        <v>29</v>
      </c>
      <c r="J17" s="1"/>
      <c r="K17" s="1"/>
      <c r="L17" s="5">
        <f t="shared" si="7"/>
        <v>80203.066666666651</v>
      </c>
      <c r="M17" s="3">
        <f t="shared" si="8"/>
        <v>6135.534599999999</v>
      </c>
      <c r="N17" s="3">
        <f t="shared" si="9"/>
        <v>20636.249053333326</v>
      </c>
      <c r="O17" s="3">
        <v>15776.28</v>
      </c>
      <c r="P17" s="3">
        <f t="shared" si="10"/>
        <v>160.40613333333332</v>
      </c>
      <c r="R17" s="30">
        <f t="shared" si="11"/>
        <v>122911.5364533333</v>
      </c>
      <c r="S17" s="27"/>
      <c r="T17" s="30"/>
    </row>
    <row r="18" spans="1:21" s="2" customFormat="1" ht="14.25" x14ac:dyDescent="0.2">
      <c r="A18" s="2" t="s">
        <v>60</v>
      </c>
      <c r="B18" s="2" t="s">
        <v>61</v>
      </c>
      <c r="C18" s="12">
        <v>43607</v>
      </c>
      <c r="D18" s="13">
        <v>47385</v>
      </c>
      <c r="E18" s="3">
        <v>44.58</v>
      </c>
      <c r="F18" s="4" t="s">
        <v>31</v>
      </c>
      <c r="G18" s="3">
        <v>0</v>
      </c>
      <c r="H18" s="4" t="s">
        <v>32</v>
      </c>
      <c r="I18" s="5" t="s">
        <v>29</v>
      </c>
      <c r="J18" s="1"/>
      <c r="K18" s="1"/>
      <c r="L18" s="5">
        <f t="shared" si="7"/>
        <v>92726.399999999994</v>
      </c>
      <c r="M18" s="3">
        <f t="shared" si="8"/>
        <v>7093.5695999999998</v>
      </c>
      <c r="N18" s="3">
        <f t="shared" si="9"/>
        <v>23858.502719999997</v>
      </c>
      <c r="O18" s="3">
        <v>15806.52</v>
      </c>
      <c r="P18" s="3">
        <f t="shared" si="10"/>
        <v>185.4528</v>
      </c>
      <c r="R18" s="30">
        <f t="shared" si="11"/>
        <v>139670.44511999999</v>
      </c>
      <c r="S18" s="27"/>
      <c r="T18" s="30"/>
    </row>
    <row r="19" spans="1:21" s="2" customFormat="1" ht="14.25" x14ac:dyDescent="0.2">
      <c r="A19" s="2" t="s">
        <v>62</v>
      </c>
      <c r="B19" s="2" t="s">
        <v>63</v>
      </c>
      <c r="C19" s="12">
        <v>42471</v>
      </c>
      <c r="D19" s="13">
        <v>46322</v>
      </c>
      <c r="E19" s="3">
        <v>35.74</v>
      </c>
      <c r="F19" s="4" t="s">
        <v>35</v>
      </c>
      <c r="G19" s="3">
        <v>39.450000000000003</v>
      </c>
      <c r="H19" s="4" t="s">
        <v>36</v>
      </c>
      <c r="I19" s="5" t="s">
        <v>29</v>
      </c>
      <c r="J19" s="1"/>
      <c r="K19" s="1"/>
      <c r="L19" s="5">
        <f t="shared" si="7"/>
        <v>79483.733333333337</v>
      </c>
      <c r="M19" s="3">
        <f t="shared" si="8"/>
        <v>6080.5056000000004</v>
      </c>
      <c r="N19" s="3">
        <f t="shared" si="9"/>
        <v>20451.164586666666</v>
      </c>
      <c r="O19" s="3">
        <v>165.84</v>
      </c>
      <c r="P19" s="3">
        <f t="shared" si="10"/>
        <v>158.96746666666667</v>
      </c>
      <c r="R19" s="30">
        <f t="shared" si="11"/>
        <v>106340.21098666667</v>
      </c>
      <c r="S19" s="27"/>
      <c r="T19" s="30"/>
    </row>
    <row r="20" spans="1:21" s="2" customFormat="1" ht="14.25" x14ac:dyDescent="0.2">
      <c r="A20" s="2" t="s">
        <v>64</v>
      </c>
      <c r="B20" s="2" t="s">
        <v>65</v>
      </c>
      <c r="C20" s="12">
        <v>39748</v>
      </c>
      <c r="D20" s="13">
        <v>47525</v>
      </c>
      <c r="E20" s="3">
        <v>35.700000000000003</v>
      </c>
      <c r="F20" s="4" t="s">
        <v>31</v>
      </c>
      <c r="G20" s="3">
        <v>0</v>
      </c>
      <c r="H20" s="4" t="s">
        <v>32</v>
      </c>
      <c r="I20" s="5" t="s">
        <v>29</v>
      </c>
      <c r="J20" s="1" t="s">
        <v>66</v>
      </c>
      <c r="K20" s="1"/>
      <c r="L20" s="5">
        <f t="shared" si="7"/>
        <v>74256</v>
      </c>
      <c r="M20" s="3">
        <f t="shared" si="8"/>
        <v>5680.5840000000007</v>
      </c>
      <c r="N20" s="3">
        <f t="shared" si="9"/>
        <v>19106.068799999997</v>
      </c>
      <c r="O20" s="3">
        <v>15765.48</v>
      </c>
      <c r="P20" s="3">
        <f t="shared" si="10"/>
        <v>148.512</v>
      </c>
      <c r="R20" s="30">
        <f t="shared" si="11"/>
        <v>114956.64479999999</v>
      </c>
      <c r="S20" s="27"/>
      <c r="T20" s="30"/>
    </row>
    <row r="21" spans="1:21" s="2" customFormat="1" ht="14.25" x14ac:dyDescent="0.2">
      <c r="A21" s="2" t="s">
        <v>67</v>
      </c>
      <c r="B21" s="18" t="s">
        <v>87</v>
      </c>
      <c r="C21" s="12">
        <v>45336</v>
      </c>
      <c r="D21" s="13">
        <v>46067</v>
      </c>
      <c r="E21" s="3">
        <v>17.91</v>
      </c>
      <c r="F21" s="4" t="s">
        <v>36</v>
      </c>
      <c r="G21" s="3">
        <v>18.809999999999999</v>
      </c>
      <c r="H21" s="4" t="s">
        <v>35</v>
      </c>
      <c r="I21" s="5" t="s">
        <v>29</v>
      </c>
      <c r="J21" s="1"/>
      <c r="K21" s="1"/>
      <c r="L21" s="5">
        <f>(E21*(F21/12)*1248)+(G21*(H21/12)*1248)</f>
        <v>22726.079999999998</v>
      </c>
      <c r="M21" s="3">
        <f t="shared" si="8"/>
        <v>1738.54512</v>
      </c>
      <c r="N21" s="3">
        <f t="shared" si="9"/>
        <v>5847.4203839999991</v>
      </c>
      <c r="O21" s="3">
        <v>16140.12</v>
      </c>
      <c r="P21" s="3">
        <f t="shared" si="10"/>
        <v>45.452159999999999</v>
      </c>
      <c r="R21" s="30">
        <f t="shared" si="11"/>
        <v>46497.617663999998</v>
      </c>
      <c r="S21" s="27"/>
      <c r="T21" s="30"/>
    </row>
    <row r="22" spans="1:21" s="2" customFormat="1" ht="14.25" x14ac:dyDescent="0.2">
      <c r="A22" s="2" t="s">
        <v>68</v>
      </c>
      <c r="B22" s="2" t="s">
        <v>65</v>
      </c>
      <c r="C22" s="12">
        <v>43430</v>
      </c>
      <c r="D22" s="13">
        <v>47083</v>
      </c>
      <c r="E22" s="3">
        <v>39.4</v>
      </c>
      <c r="F22" s="4" t="s">
        <v>31</v>
      </c>
      <c r="G22" s="3">
        <v>0</v>
      </c>
      <c r="H22" s="4" t="s">
        <v>32</v>
      </c>
      <c r="I22" s="5" t="s">
        <v>29</v>
      </c>
      <c r="J22" s="1"/>
      <c r="K22" s="1"/>
      <c r="L22" s="5">
        <f>(E22*(F22/12)*2080)+(G22*(H22/12)*2080)</f>
        <v>81952</v>
      </c>
      <c r="M22" s="3">
        <f t="shared" si="8"/>
        <v>6269.3280000000004</v>
      </c>
      <c r="N22" s="3">
        <f t="shared" si="9"/>
        <v>21086.249599999999</v>
      </c>
      <c r="O22" s="3">
        <v>15771.36</v>
      </c>
      <c r="P22" s="3">
        <f t="shared" si="10"/>
        <v>163.904</v>
      </c>
      <c r="R22" s="30">
        <f t="shared" si="11"/>
        <v>125242.84159999999</v>
      </c>
      <c r="S22" s="27"/>
      <c r="T22" s="30"/>
    </row>
    <row r="23" spans="1:21" s="2" customFormat="1" ht="14.25" x14ac:dyDescent="0.2">
      <c r="A23" s="2" t="s">
        <v>69</v>
      </c>
      <c r="B23" s="2" t="s">
        <v>56</v>
      </c>
      <c r="C23" s="12">
        <v>43563</v>
      </c>
      <c r="D23" s="13">
        <v>45990</v>
      </c>
      <c r="E23" s="3">
        <v>30.08</v>
      </c>
      <c r="F23" s="4" t="s">
        <v>57</v>
      </c>
      <c r="G23" s="3">
        <v>31.59</v>
      </c>
      <c r="H23" s="4" t="s">
        <v>23</v>
      </c>
      <c r="I23" s="5" t="s">
        <v>29</v>
      </c>
      <c r="J23" s="1"/>
      <c r="K23" s="1"/>
      <c r="L23" s="5">
        <f>(E23*(F23/12)*2080)+(G23*(H23/12)*2080)</f>
        <v>64398.53333333334</v>
      </c>
      <c r="M23" s="3">
        <f t="shared" si="8"/>
        <v>4926.4878000000008</v>
      </c>
      <c r="N23" s="3">
        <f t="shared" si="9"/>
        <v>16569.742626666666</v>
      </c>
      <c r="O23" s="3">
        <v>16816.439999999999</v>
      </c>
      <c r="P23" s="3">
        <f t="shared" si="10"/>
        <v>128.79706666666669</v>
      </c>
      <c r="R23" s="30">
        <f t="shared" si="11"/>
        <v>102840.00082666667</v>
      </c>
      <c r="S23" s="27"/>
      <c r="T23" s="30"/>
    </row>
    <row r="24" spans="1:21" s="2" customFormat="1" ht="14.25" x14ac:dyDescent="0.2">
      <c r="A24" s="2" t="s">
        <v>71</v>
      </c>
      <c r="B24" s="2" t="s">
        <v>65</v>
      </c>
      <c r="C24" s="12">
        <v>44060</v>
      </c>
      <c r="D24" s="13">
        <v>47712</v>
      </c>
      <c r="E24" s="3">
        <v>35.700000000000003</v>
      </c>
      <c r="F24" s="4" t="s">
        <v>31</v>
      </c>
      <c r="G24" s="3">
        <v>0</v>
      </c>
      <c r="H24" s="4" t="s">
        <v>32</v>
      </c>
      <c r="I24" s="5" t="s">
        <v>29</v>
      </c>
      <c r="J24" s="1"/>
      <c r="K24" s="1"/>
      <c r="L24" s="5">
        <f>(E24*(F24/12)*2080)+(G24*(H24/12)*2080)</f>
        <v>74256</v>
      </c>
      <c r="M24" s="3">
        <f t="shared" si="8"/>
        <v>5680.5840000000007</v>
      </c>
      <c r="N24" s="3">
        <f t="shared" si="9"/>
        <v>19106.068799999997</v>
      </c>
      <c r="O24" s="3">
        <v>16838.28</v>
      </c>
      <c r="P24" s="3">
        <f t="shared" si="10"/>
        <v>148.512</v>
      </c>
      <c r="R24" s="30">
        <f t="shared" si="11"/>
        <v>116029.4448</v>
      </c>
      <c r="S24" s="27"/>
      <c r="T24" s="30"/>
    </row>
    <row r="25" spans="1:21" s="2" customFormat="1" ht="14.25" x14ac:dyDescent="0.2">
      <c r="C25" s="12"/>
      <c r="D25" s="13"/>
      <c r="E25" s="3"/>
      <c r="F25" s="4"/>
      <c r="G25" s="3"/>
      <c r="H25" s="4"/>
      <c r="I25" s="5"/>
      <c r="J25" s="1"/>
      <c r="K25" s="1"/>
      <c r="L25" s="5"/>
      <c r="M25" s="3"/>
      <c r="N25" s="3"/>
      <c r="O25" s="3"/>
      <c r="P25" s="3"/>
      <c r="R25" s="30">
        <f>SUM(R15:R24)</f>
        <v>1161025.2260906668</v>
      </c>
      <c r="T25" s="30"/>
    </row>
    <row r="26" spans="1:21" s="6" customFormat="1" ht="14.25" x14ac:dyDescent="0.2">
      <c r="A26" s="6" t="s">
        <v>3</v>
      </c>
      <c r="C26" s="7"/>
      <c r="D26" s="8"/>
      <c r="E26" s="9"/>
      <c r="F26" s="22"/>
      <c r="G26" s="9"/>
      <c r="H26" s="22"/>
      <c r="I26" s="10"/>
      <c r="J26" s="23"/>
      <c r="K26" s="23"/>
      <c r="L26" s="10"/>
      <c r="M26" s="9"/>
      <c r="N26" s="9"/>
      <c r="P26" s="9"/>
      <c r="R26" s="9"/>
      <c r="T26" s="9"/>
      <c r="U26" s="48"/>
    </row>
    <row r="27" spans="1:21" s="27" customFormat="1" ht="16.5" customHeight="1" x14ac:dyDescent="0.2">
      <c r="A27" s="27" t="s">
        <v>73</v>
      </c>
      <c r="B27" s="27" t="s">
        <v>74</v>
      </c>
      <c r="C27" s="28">
        <v>43549</v>
      </c>
      <c r="D27" s="29">
        <v>47453</v>
      </c>
      <c r="E27" s="30">
        <v>49.21</v>
      </c>
      <c r="F27" s="32" t="s">
        <v>31</v>
      </c>
      <c r="G27" s="30">
        <v>0</v>
      </c>
      <c r="H27" s="32" t="s">
        <v>32</v>
      </c>
      <c r="I27" s="35" t="s">
        <v>21</v>
      </c>
      <c r="J27" s="34"/>
      <c r="K27" s="34"/>
      <c r="L27" s="35">
        <f t="shared" ref="L27:L36" si="12">(E27*(F27/12)*2080)+(G27*(H27/12)*2080)</f>
        <v>102356.8</v>
      </c>
      <c r="M27" s="30">
        <f t="shared" ref="M27:M36" si="13">MIN(L27,176100)*0.062+(L27*0.0145)+MAX(0,(L27-200000))*0.009</f>
        <v>7830.2952000000005</v>
      </c>
      <c r="N27" s="30">
        <f t="shared" ref="N27:N36" si="14">L27*0.2573</f>
        <v>26336.404639999997</v>
      </c>
      <c r="O27" s="30">
        <v>15797.88</v>
      </c>
      <c r="P27" s="30">
        <f t="shared" ref="P27:P36" si="15">L27*0.2%</f>
        <v>204.71360000000001</v>
      </c>
      <c r="R27" s="30">
        <f t="shared" ref="R27:R36" si="16">SUM(L27:Q27)</f>
        <v>152526.09344</v>
      </c>
      <c r="T27" s="30"/>
    </row>
    <row r="28" spans="1:21" s="27" customFormat="1" ht="14.25" x14ac:dyDescent="0.2">
      <c r="A28" s="27" t="s">
        <v>75</v>
      </c>
      <c r="B28" s="27" t="s">
        <v>77</v>
      </c>
      <c r="C28" s="28">
        <v>44781</v>
      </c>
      <c r="D28" s="29">
        <v>46267</v>
      </c>
      <c r="E28" s="30">
        <v>36.659999999999997</v>
      </c>
      <c r="F28" s="32" t="s">
        <v>27</v>
      </c>
      <c r="G28" s="30"/>
      <c r="H28" s="32"/>
      <c r="I28" s="35" t="s">
        <v>29</v>
      </c>
      <c r="J28" s="34"/>
      <c r="K28" s="34"/>
      <c r="L28" s="35">
        <f t="shared" si="12"/>
        <v>57189.599999999991</v>
      </c>
      <c r="M28" s="30">
        <f t="shared" si="13"/>
        <v>4375.0043999999998</v>
      </c>
      <c r="N28" s="30">
        <f t="shared" si="14"/>
        <v>14714.884079999996</v>
      </c>
      <c r="O28" s="30">
        <v>16838.28</v>
      </c>
      <c r="P28" s="30">
        <f t="shared" si="15"/>
        <v>114.37919999999998</v>
      </c>
      <c r="R28" s="30">
        <f t="shared" si="16"/>
        <v>93232.14767999998</v>
      </c>
      <c r="T28" s="30"/>
    </row>
    <row r="29" spans="1:21" s="27" customFormat="1" ht="14.25" x14ac:dyDescent="0.2">
      <c r="A29" s="27" t="s">
        <v>78</v>
      </c>
      <c r="B29" s="27" t="s">
        <v>77</v>
      </c>
      <c r="C29" s="28">
        <v>45269</v>
      </c>
      <c r="D29" s="29">
        <v>47031</v>
      </c>
      <c r="E29" s="30">
        <v>38.49</v>
      </c>
      <c r="F29" s="32" t="s">
        <v>27</v>
      </c>
      <c r="G29" s="30"/>
      <c r="H29" s="32"/>
      <c r="I29" s="35" t="s">
        <v>29</v>
      </c>
      <c r="J29" s="34"/>
      <c r="K29" s="34"/>
      <c r="L29" s="35">
        <f t="shared" si="12"/>
        <v>60044.4</v>
      </c>
      <c r="M29" s="30">
        <f t="shared" si="13"/>
        <v>4593.3966</v>
      </c>
      <c r="N29" s="30">
        <f t="shared" si="14"/>
        <v>15449.424119999998</v>
      </c>
      <c r="O29" s="30">
        <v>16838.28</v>
      </c>
      <c r="P29" s="30">
        <f t="shared" si="15"/>
        <v>120.08880000000001</v>
      </c>
      <c r="R29" s="30">
        <f t="shared" si="16"/>
        <v>97045.589519999994</v>
      </c>
      <c r="T29" s="30"/>
    </row>
    <row r="30" spans="1:21" s="27" customFormat="1" ht="14.25" x14ac:dyDescent="0.2">
      <c r="A30" s="27" t="s">
        <v>79</v>
      </c>
      <c r="B30" s="27" t="s">
        <v>76</v>
      </c>
      <c r="C30" s="28">
        <v>45313</v>
      </c>
      <c r="D30" s="29">
        <v>46044</v>
      </c>
      <c r="E30" s="42">
        <v>33.19</v>
      </c>
      <c r="F30" s="32" t="s">
        <v>48</v>
      </c>
      <c r="G30" s="42">
        <v>34.85</v>
      </c>
      <c r="H30" s="32" t="s">
        <v>48</v>
      </c>
      <c r="I30" s="35" t="s">
        <v>29</v>
      </c>
      <c r="J30" s="34"/>
      <c r="K30" s="34"/>
      <c r="L30" s="35">
        <f t="shared" si="12"/>
        <v>70761.600000000006</v>
      </c>
      <c r="M30" s="30">
        <f t="shared" si="13"/>
        <v>5413.2624000000005</v>
      </c>
      <c r="N30" s="30">
        <f t="shared" si="14"/>
        <v>18206.95968</v>
      </c>
      <c r="O30" s="30">
        <v>144.24</v>
      </c>
      <c r="P30" s="30">
        <f t="shared" si="15"/>
        <v>141.5232</v>
      </c>
      <c r="Q30" s="27">
        <v>2400</v>
      </c>
      <c r="R30" s="30">
        <f t="shared" si="16"/>
        <v>97067.585280000014</v>
      </c>
      <c r="T30" s="30"/>
    </row>
    <row r="31" spans="1:21" s="27" customFormat="1" ht="14.25" x14ac:dyDescent="0.2">
      <c r="A31" s="27" t="s">
        <v>80</v>
      </c>
      <c r="B31" s="27" t="s">
        <v>76</v>
      </c>
      <c r="C31" s="28">
        <v>45509</v>
      </c>
      <c r="D31" s="29">
        <v>46046</v>
      </c>
      <c r="E31" s="30">
        <v>30.1</v>
      </c>
      <c r="F31" s="32" t="s">
        <v>48</v>
      </c>
      <c r="G31" s="30">
        <v>31.61</v>
      </c>
      <c r="H31" s="32" t="s">
        <v>48</v>
      </c>
      <c r="I31" s="35" t="s">
        <v>29</v>
      </c>
      <c r="J31" s="34"/>
      <c r="K31" s="34"/>
      <c r="L31" s="35">
        <f t="shared" si="12"/>
        <v>64178.400000000001</v>
      </c>
      <c r="M31" s="30">
        <f t="shared" si="13"/>
        <v>4909.6476000000002</v>
      </c>
      <c r="N31" s="30">
        <f t="shared" si="14"/>
        <v>16513.102319999998</v>
      </c>
      <c r="O31" s="30">
        <v>15722.28</v>
      </c>
      <c r="P31" s="30">
        <f t="shared" si="15"/>
        <v>128.35679999999999</v>
      </c>
      <c r="R31" s="30">
        <f t="shared" si="16"/>
        <v>101451.78671999999</v>
      </c>
      <c r="T31" s="30"/>
    </row>
    <row r="32" spans="1:21" s="27" customFormat="1" ht="14.25" x14ac:dyDescent="0.2">
      <c r="A32" s="27" t="s">
        <v>81</v>
      </c>
      <c r="B32" s="27" t="s">
        <v>82</v>
      </c>
      <c r="C32" s="28">
        <v>45453</v>
      </c>
      <c r="D32" s="29">
        <v>45818</v>
      </c>
      <c r="E32" s="30">
        <v>24.69</v>
      </c>
      <c r="F32" s="32" t="s">
        <v>44</v>
      </c>
      <c r="G32" s="30">
        <v>25.93</v>
      </c>
      <c r="H32" s="32" t="s">
        <v>45</v>
      </c>
      <c r="I32" s="35" t="s">
        <v>29</v>
      </c>
      <c r="J32" s="34" t="s">
        <v>2</v>
      </c>
      <c r="K32" s="34"/>
      <c r="L32" s="35">
        <f t="shared" si="12"/>
        <v>51570.133333333331</v>
      </c>
      <c r="M32" s="30">
        <f t="shared" si="13"/>
        <v>3945.1151999999997</v>
      </c>
      <c r="N32" s="30">
        <f t="shared" si="14"/>
        <v>13268.995306666664</v>
      </c>
      <c r="O32" s="30">
        <v>16799.400000000001</v>
      </c>
      <c r="P32" s="30">
        <f t="shared" si="15"/>
        <v>103.14026666666666</v>
      </c>
      <c r="R32" s="30">
        <f t="shared" si="16"/>
        <v>85686.784106666673</v>
      </c>
      <c r="T32" s="30"/>
    </row>
    <row r="33" spans="1:20" s="27" customFormat="1" ht="14.25" x14ac:dyDescent="0.2">
      <c r="A33" s="27" t="s">
        <v>83</v>
      </c>
      <c r="B33" s="27" t="s">
        <v>77</v>
      </c>
      <c r="C33" s="28">
        <v>44284</v>
      </c>
      <c r="D33" s="29">
        <v>46044</v>
      </c>
      <c r="E33" s="43">
        <v>38.49</v>
      </c>
      <c r="F33" s="32" t="s">
        <v>48</v>
      </c>
      <c r="G33" s="43">
        <v>40.409999999999997</v>
      </c>
      <c r="H33" s="32" t="s">
        <v>48</v>
      </c>
      <c r="I33" s="35" t="s">
        <v>29</v>
      </c>
      <c r="J33" s="34"/>
      <c r="K33" s="34"/>
      <c r="L33" s="35">
        <f t="shared" si="12"/>
        <v>82056</v>
      </c>
      <c r="M33" s="30">
        <f t="shared" si="13"/>
        <v>6277.2839999999997</v>
      </c>
      <c r="N33" s="30">
        <f t="shared" si="14"/>
        <v>21113.0088</v>
      </c>
      <c r="O33" s="30">
        <v>15765.48</v>
      </c>
      <c r="P33" s="30">
        <f t="shared" si="15"/>
        <v>164.11199999999999</v>
      </c>
      <c r="R33" s="30">
        <f t="shared" si="16"/>
        <v>125375.88479999999</v>
      </c>
      <c r="T33" s="30"/>
    </row>
    <row r="34" spans="1:20" s="27" customFormat="1" ht="14.25" x14ac:dyDescent="0.2">
      <c r="A34" s="27" t="s">
        <v>84</v>
      </c>
      <c r="B34" s="27" t="s">
        <v>76</v>
      </c>
      <c r="C34" s="28">
        <v>45670</v>
      </c>
      <c r="D34" s="29">
        <v>46035</v>
      </c>
      <c r="E34" s="30">
        <v>33.19</v>
      </c>
      <c r="F34" s="32" t="s">
        <v>57</v>
      </c>
      <c r="G34" s="30">
        <v>34.85</v>
      </c>
      <c r="H34" s="32" t="s">
        <v>23</v>
      </c>
      <c r="I34" s="35" t="s">
        <v>29</v>
      </c>
      <c r="J34" s="34"/>
      <c r="K34" s="34"/>
      <c r="L34" s="35">
        <f t="shared" si="12"/>
        <v>71049.333333333343</v>
      </c>
      <c r="M34" s="30">
        <f t="shared" si="13"/>
        <v>5435.2740000000003</v>
      </c>
      <c r="N34" s="30">
        <f t="shared" si="14"/>
        <v>18280.993466666667</v>
      </c>
      <c r="O34" s="30">
        <v>15746.04</v>
      </c>
      <c r="P34" s="30">
        <f t="shared" si="15"/>
        <v>142.0986666666667</v>
      </c>
      <c r="R34" s="30">
        <f t="shared" si="16"/>
        <v>110653.7394666667</v>
      </c>
      <c r="T34" s="30"/>
    </row>
    <row r="35" spans="1:20" s="27" customFormat="1" ht="14.25" x14ac:dyDescent="0.2">
      <c r="A35" s="27" t="s">
        <v>85</v>
      </c>
      <c r="B35" s="27" t="s">
        <v>76</v>
      </c>
      <c r="C35" s="28">
        <v>45950</v>
      </c>
      <c r="D35" s="29">
        <v>46315</v>
      </c>
      <c r="E35" s="30"/>
      <c r="F35" s="32" t="s">
        <v>32</v>
      </c>
      <c r="G35" s="30">
        <v>30.1</v>
      </c>
      <c r="H35" s="32" t="s">
        <v>27</v>
      </c>
      <c r="I35" s="35" t="s">
        <v>29</v>
      </c>
      <c r="J35" s="34"/>
      <c r="K35" s="34"/>
      <c r="L35" s="35">
        <f t="shared" si="12"/>
        <v>46956.000000000007</v>
      </c>
      <c r="M35" s="30">
        <f t="shared" si="13"/>
        <v>3592.1340000000005</v>
      </c>
      <c r="N35" s="30">
        <f t="shared" si="14"/>
        <v>12081.7788</v>
      </c>
      <c r="O35" s="30">
        <v>15746.04</v>
      </c>
      <c r="P35" s="30">
        <f t="shared" si="15"/>
        <v>93.91200000000002</v>
      </c>
      <c r="R35" s="30">
        <f t="shared" si="16"/>
        <v>78469.864799999996</v>
      </c>
      <c r="T35" s="30"/>
    </row>
    <row r="36" spans="1:20" s="27" customFormat="1" ht="14.25" x14ac:dyDescent="0.2">
      <c r="A36" s="44" t="s">
        <v>86</v>
      </c>
      <c r="B36" s="44" t="s">
        <v>82</v>
      </c>
      <c r="C36" s="28">
        <v>45862</v>
      </c>
      <c r="D36" s="29">
        <v>46227</v>
      </c>
      <c r="E36" s="30"/>
      <c r="F36" s="32"/>
      <c r="G36" s="30">
        <v>23.52</v>
      </c>
      <c r="H36" s="32" t="s">
        <v>44</v>
      </c>
      <c r="I36" s="35" t="s">
        <v>29</v>
      </c>
      <c r="L36" s="35">
        <f t="shared" si="12"/>
        <v>44844.799999999996</v>
      </c>
      <c r="M36" s="30">
        <f t="shared" si="13"/>
        <v>3430.6271999999999</v>
      </c>
      <c r="N36" s="30">
        <f t="shared" si="14"/>
        <v>11538.567039999998</v>
      </c>
      <c r="O36" s="30"/>
      <c r="P36" s="30">
        <f t="shared" si="15"/>
        <v>89.689599999999999</v>
      </c>
      <c r="R36" s="30">
        <f t="shared" si="16"/>
        <v>59903.683839999998</v>
      </c>
      <c r="T36" s="30"/>
    </row>
    <row r="37" spans="1:20" s="2" customFormat="1" ht="14.25" x14ac:dyDescent="0.2">
      <c r="A37" s="17"/>
      <c r="D37" s="1"/>
      <c r="E37" s="3"/>
      <c r="F37" s="4"/>
      <c r="G37" s="3"/>
      <c r="H37" s="4"/>
      <c r="L37" s="5"/>
      <c r="M37" s="3"/>
      <c r="N37" s="3"/>
      <c r="R37" s="30">
        <f>SUM(R27:R36)</f>
        <v>1001413.1596533332</v>
      </c>
      <c r="T37" s="30"/>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76B88-1C50-4D36-A826-34F099A899A3}">
  <dimension ref="A1:S8"/>
  <sheetViews>
    <sheetView workbookViewId="0">
      <selection activeCell="B6" sqref="B6"/>
    </sheetView>
  </sheetViews>
  <sheetFormatPr defaultColWidth="15.7109375" defaultRowHeight="14.25" x14ac:dyDescent="0.2"/>
  <cols>
    <col min="1" max="1" width="30.28515625" style="2" customWidth="1"/>
    <col min="2" max="2" width="15.7109375" style="2"/>
    <col min="3" max="14" width="15.7109375" style="2" hidden="1" customWidth="1"/>
    <col min="15" max="16" width="15.7109375" style="50" customWidth="1"/>
    <col min="17" max="17" width="15.7109375" style="50"/>
    <col min="18" max="16384" width="15.7109375" style="2"/>
  </cols>
  <sheetData>
    <row r="1" spans="1:19" x14ac:dyDescent="0.2">
      <c r="A1" s="2" t="s">
        <v>144</v>
      </c>
      <c r="D1" s="1"/>
      <c r="F1" s="19"/>
      <c r="G1" s="19"/>
      <c r="H1" s="4"/>
      <c r="S1" s="27"/>
    </row>
    <row r="3" spans="1:19" s="1" customFormat="1" ht="57" x14ac:dyDescent="0.2">
      <c r="A3" s="1" t="s">
        <v>93</v>
      </c>
      <c r="B3" s="1" t="s">
        <v>94</v>
      </c>
      <c r="C3" s="1" t="s">
        <v>96</v>
      </c>
      <c r="D3" s="21" t="s">
        <v>97</v>
      </c>
      <c r="E3" s="21" t="s">
        <v>98</v>
      </c>
      <c r="F3" s="25" t="s">
        <v>99</v>
      </c>
      <c r="G3" s="25" t="s">
        <v>106</v>
      </c>
      <c r="H3" s="25" t="s">
        <v>100</v>
      </c>
      <c r="I3" s="21" t="s">
        <v>101</v>
      </c>
      <c r="J3" s="21" t="s">
        <v>102</v>
      </c>
      <c r="K3" s="21" t="s">
        <v>103</v>
      </c>
      <c r="L3" s="21" t="s">
        <v>104</v>
      </c>
      <c r="M3" s="21" t="s">
        <v>105</v>
      </c>
      <c r="N3" s="21" t="s">
        <v>107</v>
      </c>
      <c r="O3" s="51" t="s">
        <v>124</v>
      </c>
      <c r="P3" s="51" t="s">
        <v>110</v>
      </c>
      <c r="Q3" s="51" t="s">
        <v>109</v>
      </c>
      <c r="R3" s="21" t="s">
        <v>111</v>
      </c>
      <c r="S3" s="45" t="s">
        <v>112</v>
      </c>
    </row>
    <row r="4" spans="1:19" s="27" customFormat="1" x14ac:dyDescent="0.2">
      <c r="A4" s="27" t="s">
        <v>0</v>
      </c>
      <c r="B4" s="30">
        <f>SUM('[1]Positions by Division'!R11)</f>
        <v>855201.89925333322</v>
      </c>
      <c r="D4" s="34"/>
      <c r="E4" s="30"/>
      <c r="F4" s="31"/>
      <c r="G4" s="31"/>
      <c r="H4" s="32"/>
      <c r="I4" s="35"/>
      <c r="J4" s="34"/>
      <c r="K4" s="34"/>
      <c r="L4" s="34"/>
      <c r="M4" s="30"/>
      <c r="N4" s="30"/>
      <c r="O4" s="47">
        <v>0</v>
      </c>
      <c r="P4" s="47"/>
      <c r="Q4" s="47">
        <f>SUM(P8)</f>
        <v>233888.75999999998</v>
      </c>
      <c r="R4" s="30">
        <f>SUM(Q4,B4)</f>
        <v>1089090.6592533332</v>
      </c>
      <c r="S4" s="52">
        <f>SUM(R4/R8)</f>
        <v>0.21187282626013612</v>
      </c>
    </row>
    <row r="5" spans="1:19" x14ac:dyDescent="0.2">
      <c r="A5" s="2" t="s">
        <v>1</v>
      </c>
      <c r="B5" s="3">
        <f>SUM('[1]Positions by Division'!R22)</f>
        <v>1008907.3512799998</v>
      </c>
      <c r="C5" s="2">
        <v>303</v>
      </c>
      <c r="D5" s="2">
        <v>4403</v>
      </c>
      <c r="E5" s="2">
        <v>477</v>
      </c>
      <c r="F5" s="2">
        <v>10555</v>
      </c>
      <c r="G5" s="2">
        <v>798</v>
      </c>
      <c r="H5" s="2">
        <v>10699</v>
      </c>
      <c r="I5" s="2">
        <v>50000</v>
      </c>
      <c r="J5" s="2">
        <v>185299</v>
      </c>
      <c r="K5" s="2">
        <v>51406</v>
      </c>
      <c r="L5" s="2">
        <v>3886</v>
      </c>
      <c r="M5" s="2">
        <v>9447</v>
      </c>
      <c r="N5" s="2">
        <v>47655</v>
      </c>
      <c r="O5" s="50">
        <f>SUM(C5:N5)</f>
        <v>374928</v>
      </c>
      <c r="P5" s="50">
        <f>SUM(O5*0.21)</f>
        <v>78734.87999999999</v>
      </c>
      <c r="Q5" s="50">
        <f>SUM(O5-P5)</f>
        <v>296193.12</v>
      </c>
      <c r="R5" s="30">
        <f>SUM(Q5,B5)</f>
        <v>1305100.4712799997</v>
      </c>
    </row>
    <row r="6" spans="1:19" x14ac:dyDescent="0.2">
      <c r="A6" s="2" t="s">
        <v>89</v>
      </c>
      <c r="B6" s="3">
        <f>SUM('[1]Positions by Division'!R34)</f>
        <v>1161025.2260906668</v>
      </c>
      <c r="C6" s="2">
        <v>2285</v>
      </c>
      <c r="D6" s="2">
        <v>9552</v>
      </c>
      <c r="E6" s="2">
        <v>477</v>
      </c>
      <c r="F6" s="2">
        <v>75502</v>
      </c>
      <c r="G6" s="2">
        <v>13771</v>
      </c>
      <c r="H6" s="2">
        <v>10263</v>
      </c>
      <c r="I6" s="2">
        <v>15664</v>
      </c>
      <c r="J6" s="2">
        <v>129880</v>
      </c>
      <c r="K6" s="2">
        <v>50000</v>
      </c>
      <c r="L6" s="2">
        <v>52041</v>
      </c>
      <c r="M6" s="2">
        <v>7036</v>
      </c>
      <c r="N6" s="2">
        <v>0</v>
      </c>
      <c r="O6" s="50">
        <f>SUM(C6:N6)</f>
        <v>366471</v>
      </c>
      <c r="P6" s="50">
        <f>SUM(O6*0.21)</f>
        <v>76958.91</v>
      </c>
      <c r="Q6" s="50">
        <f>SUM(O6-P6)</f>
        <v>289512.08999999997</v>
      </c>
      <c r="R6" s="30">
        <f>SUM(Q6,B6)</f>
        <v>1450537.3160906667</v>
      </c>
    </row>
    <row r="7" spans="1:19" x14ac:dyDescent="0.2">
      <c r="A7" s="2" t="s">
        <v>3</v>
      </c>
      <c r="B7" s="3">
        <f>SUM('[1]Positions by Division'!R46)</f>
        <v>1001413.1596533332</v>
      </c>
      <c r="C7" s="2">
        <v>4584</v>
      </c>
      <c r="D7" s="2">
        <v>12656</v>
      </c>
      <c r="E7" s="2">
        <v>378</v>
      </c>
      <c r="F7" s="2">
        <v>83065</v>
      </c>
      <c r="G7" s="2">
        <v>607</v>
      </c>
      <c r="H7" s="2">
        <v>17403</v>
      </c>
      <c r="I7" s="2">
        <v>25000</v>
      </c>
      <c r="J7" s="2">
        <v>84634</v>
      </c>
      <c r="K7" s="2">
        <v>46870</v>
      </c>
      <c r="L7" s="2">
        <v>78894</v>
      </c>
      <c r="M7" s="2">
        <v>18266</v>
      </c>
      <c r="N7" s="2">
        <v>0</v>
      </c>
      <c r="O7" s="50">
        <f>SUM(C7:N7)</f>
        <v>372357</v>
      </c>
      <c r="P7" s="50">
        <f>SUM(O7*0.21)</f>
        <v>78194.97</v>
      </c>
      <c r="Q7" s="50">
        <f>SUM(O7-P7)</f>
        <v>294162.03000000003</v>
      </c>
      <c r="R7" s="30">
        <f>SUM(Q7,B7)</f>
        <v>1295575.1896533333</v>
      </c>
    </row>
    <row r="8" spans="1:19" x14ac:dyDescent="0.2">
      <c r="B8" s="3">
        <f>SUM(B4:B7)</f>
        <v>4026547.6362773329</v>
      </c>
      <c r="O8" s="50">
        <f>SUM(O5:O7)</f>
        <v>1113756</v>
      </c>
      <c r="P8" s="50">
        <f>SUM(O8*0.21)</f>
        <v>233888.75999999998</v>
      </c>
      <c r="Q8" s="50">
        <f>SUM(Q4:Q7)</f>
        <v>1113756</v>
      </c>
      <c r="R8" s="30">
        <f>SUM(Q8,B8)</f>
        <v>5140303.6362773329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3FE2-9423-4C03-B74A-B846FC359796}">
  <dimension ref="A1:J10"/>
  <sheetViews>
    <sheetView workbookViewId="0">
      <selection activeCell="I11" sqref="I11"/>
    </sheetView>
  </sheetViews>
  <sheetFormatPr defaultRowHeight="15" x14ac:dyDescent="0.25"/>
  <cols>
    <col min="2" max="2" width="15.7109375" bestFit="1" customWidth="1"/>
    <col min="3" max="3" width="14" bestFit="1" customWidth="1"/>
    <col min="5" max="5" width="17.28515625" customWidth="1"/>
    <col min="10" max="10" width="12.5703125" bestFit="1" customWidth="1"/>
  </cols>
  <sheetData>
    <row r="1" spans="1:10" x14ac:dyDescent="0.25">
      <c r="A1" t="s">
        <v>155</v>
      </c>
    </row>
    <row r="3" spans="1:10" x14ac:dyDescent="0.25">
      <c r="A3" s="68"/>
      <c r="B3" s="68" t="s">
        <v>150</v>
      </c>
      <c r="C3" s="68" t="s">
        <v>149</v>
      </c>
      <c r="D3" s="68"/>
      <c r="E3" s="68" t="s">
        <v>148</v>
      </c>
      <c r="F3" s="68"/>
    </row>
    <row r="4" spans="1:10" x14ac:dyDescent="0.25">
      <c r="A4" s="68" t="s">
        <v>153</v>
      </c>
      <c r="B4" s="69">
        <f>SUM('Indirect  Rate'!B6)</f>
        <v>1161025.2260906668</v>
      </c>
      <c r="C4" s="70">
        <f>SUM('Indirect  Rate'!Q6)</f>
        <v>289512.08999999997</v>
      </c>
      <c r="D4" s="70" t="s">
        <v>147</v>
      </c>
      <c r="E4" s="69">
        <f>SUM('Indirect  Rate'!R4)</f>
        <v>1089090.6592533332</v>
      </c>
      <c r="F4" s="71" t="s">
        <v>24</v>
      </c>
    </row>
    <row r="5" spans="1:10" x14ac:dyDescent="0.25">
      <c r="A5" s="68"/>
      <c r="B5" s="72"/>
      <c r="C5" s="72">
        <f>SUM('Positions by Division'!R27)</f>
        <v>180455.78842666667</v>
      </c>
      <c r="D5" s="72" t="s">
        <v>156</v>
      </c>
      <c r="E5" s="68"/>
      <c r="F5" s="68"/>
    </row>
    <row r="6" spans="1:10" x14ac:dyDescent="0.25">
      <c r="A6" s="68"/>
      <c r="B6" s="69"/>
      <c r="C6" s="72">
        <f>SUM('Positions by Division'!R31)</f>
        <v>106340.21098666667</v>
      </c>
      <c r="D6" s="69" t="s">
        <v>157</v>
      </c>
      <c r="E6" s="68"/>
      <c r="F6" s="68"/>
      <c r="J6" s="65" t="s">
        <v>24</v>
      </c>
    </row>
    <row r="7" spans="1:10" x14ac:dyDescent="0.25">
      <c r="A7" s="68"/>
      <c r="B7" s="69"/>
      <c r="C7" s="72">
        <f>SUM('Positions by Division'!R28)</f>
        <v>106080.69541333332</v>
      </c>
      <c r="D7" s="69" t="s">
        <v>47</v>
      </c>
      <c r="E7" s="68"/>
      <c r="F7" s="68"/>
      <c r="J7" s="65"/>
    </row>
    <row r="8" spans="1:10" x14ac:dyDescent="0.25">
      <c r="A8" s="68"/>
      <c r="B8" s="69"/>
      <c r="C8" s="69">
        <f>SUM('Positions by Division'!R35)</f>
        <v>102840.00082666667</v>
      </c>
      <c r="D8" s="69" t="s">
        <v>47</v>
      </c>
      <c r="E8" s="68"/>
      <c r="F8" s="68"/>
    </row>
    <row r="9" spans="1:10" x14ac:dyDescent="0.25">
      <c r="A9" s="68"/>
      <c r="B9" s="69"/>
      <c r="C9" s="72">
        <f>SUM('Positions by Division'!R33)</f>
        <v>46497.617663999998</v>
      </c>
      <c r="D9" s="69" t="s">
        <v>160</v>
      </c>
      <c r="E9" s="68"/>
      <c r="F9" s="68"/>
    </row>
    <row r="10" spans="1:10" x14ac:dyDescent="0.25">
      <c r="A10" s="68"/>
      <c r="B10" s="69">
        <f>SUM(B4)</f>
        <v>1161025.2260906668</v>
      </c>
      <c r="C10" s="69">
        <f>SUM(C4:C9)</f>
        <v>831726.40331733332</v>
      </c>
      <c r="D10" s="69"/>
      <c r="E10" s="69">
        <f>SUM(B10:C10)</f>
        <v>1992751.629408</v>
      </c>
      <c r="F10" s="71">
        <f>SUM(C10/B10)</f>
        <v>0.71637237902045559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59FD-C1AD-42B5-B3E0-3118F75FAC32}">
  <dimension ref="A1:Z13"/>
  <sheetViews>
    <sheetView workbookViewId="0">
      <selection activeCell="B3" sqref="B3:Y9"/>
    </sheetView>
  </sheetViews>
  <sheetFormatPr defaultRowHeight="15" x14ac:dyDescent="0.25"/>
  <cols>
    <col min="1" max="1" width="22.28515625" customWidth="1"/>
    <col min="2" max="2" width="31.5703125" customWidth="1"/>
    <col min="3" max="16" width="0" hidden="1" customWidth="1"/>
    <col min="17" max="17" width="0.140625" customWidth="1"/>
    <col min="18" max="18" width="19.140625" style="67" customWidth="1"/>
    <col min="19" max="19" width="15" customWidth="1"/>
    <col min="20" max="20" width="13.85546875" customWidth="1"/>
    <col min="21" max="21" width="12.28515625" customWidth="1"/>
    <col min="22" max="22" width="11.28515625" customWidth="1"/>
    <col min="23" max="23" width="15" customWidth="1"/>
    <col min="25" max="25" width="15.42578125" customWidth="1"/>
  </cols>
  <sheetData>
    <row r="1" spans="1:26" x14ac:dyDescent="0.25">
      <c r="A1" t="s">
        <v>158</v>
      </c>
    </row>
    <row r="3" spans="1:26" ht="31.5" x14ac:dyDescent="0.35">
      <c r="A3" s="81" t="s">
        <v>24</v>
      </c>
      <c r="B3" s="83" t="s">
        <v>159</v>
      </c>
      <c r="C3" s="84"/>
      <c r="D3" s="84"/>
      <c r="E3" s="85"/>
      <c r="F3" s="86"/>
      <c r="G3" s="85"/>
      <c r="H3" s="86"/>
      <c r="I3" s="85"/>
      <c r="J3" s="83"/>
      <c r="K3" s="83"/>
      <c r="L3" s="85"/>
      <c r="M3" s="85"/>
      <c r="N3" s="85"/>
      <c r="O3" s="83"/>
      <c r="P3" s="85"/>
      <c r="Q3" s="83"/>
      <c r="R3" s="117" t="s">
        <v>94</v>
      </c>
      <c r="S3" s="87" t="s">
        <v>91</v>
      </c>
      <c r="T3" s="85" t="s">
        <v>165</v>
      </c>
      <c r="U3" s="88" t="s">
        <v>166</v>
      </c>
      <c r="V3" s="83" t="s">
        <v>167</v>
      </c>
      <c r="W3" s="83" t="s">
        <v>168</v>
      </c>
      <c r="X3" s="83" t="s">
        <v>122</v>
      </c>
      <c r="Y3" s="83"/>
      <c r="Z3" s="73"/>
    </row>
    <row r="4" spans="1:26" ht="21" x14ac:dyDescent="0.35">
      <c r="A4" s="82" t="s">
        <v>24</v>
      </c>
      <c r="B4" s="89" t="s">
        <v>59</v>
      </c>
      <c r="C4" s="90">
        <v>44326</v>
      </c>
      <c r="D4" s="90">
        <v>46304</v>
      </c>
      <c r="E4" s="91">
        <v>41.5</v>
      </c>
      <c r="F4" s="92" t="s">
        <v>35</v>
      </c>
      <c r="G4" s="91">
        <v>43.57</v>
      </c>
      <c r="H4" s="92" t="s">
        <v>36</v>
      </c>
      <c r="I4" s="91" t="s">
        <v>29</v>
      </c>
      <c r="J4" s="89"/>
      <c r="K4" s="89"/>
      <c r="L4" s="91">
        <f>(E4*(F4/12)*2080)+(G4*(H4/12)*2080)</f>
        <v>89190.399999999994</v>
      </c>
      <c r="M4" s="91">
        <f>MIN(L4,176100)*0.062+(L4*0.0145)+MAX(0,(L4-200000))*0.009</f>
        <v>6823.0655999999999</v>
      </c>
      <c r="N4" s="91">
        <f>L4*0.2573</f>
        <v>22948.689919999997</v>
      </c>
      <c r="O4" s="91">
        <v>16849.080000000002</v>
      </c>
      <c r="P4" s="91">
        <f>L4*0.2%</f>
        <v>178.38079999999999</v>
      </c>
      <c r="Q4" s="89"/>
      <c r="R4" s="118">
        <f>SUM(L4:P4)</f>
        <v>135989.61632</v>
      </c>
      <c r="S4" s="89">
        <v>1650</v>
      </c>
      <c r="T4" s="93">
        <f>SUM(R4/S4)</f>
        <v>82.41794928484849</v>
      </c>
      <c r="U4" s="94">
        <v>0.72</v>
      </c>
      <c r="V4" s="94">
        <v>0.21</v>
      </c>
      <c r="W4" s="91">
        <f>(T4*(1+U4))*(1+V4)</f>
        <v>171.52823605162666</v>
      </c>
      <c r="X4" s="89"/>
      <c r="Y4" s="89"/>
      <c r="Z4" s="73"/>
    </row>
    <row r="5" spans="1:26" ht="21" x14ac:dyDescent="0.35">
      <c r="A5" s="82" t="s">
        <v>24</v>
      </c>
      <c r="B5" s="89" t="s">
        <v>61</v>
      </c>
      <c r="C5" s="96">
        <v>45630</v>
      </c>
      <c r="D5" s="96">
        <v>46205</v>
      </c>
      <c r="E5" s="97">
        <v>50.44</v>
      </c>
      <c r="F5" s="98" t="s">
        <v>31</v>
      </c>
      <c r="G5" s="97">
        <v>50.44</v>
      </c>
      <c r="H5" s="98" t="s">
        <v>32</v>
      </c>
      <c r="I5" s="91" t="s">
        <v>29</v>
      </c>
      <c r="J5" s="89"/>
      <c r="K5" s="89"/>
      <c r="L5" s="91">
        <f>(E5*(F5/12)*2080)+(G5*(H5/12)*2080)</f>
        <v>104915.2</v>
      </c>
      <c r="M5" s="91">
        <f>MIN(L5,176100)*0.062+(L5*0.0145)+MAX(0,(L5-200000))*0.009</f>
        <v>8026.0128000000004</v>
      </c>
      <c r="N5" s="91">
        <f>L5*0.2573</f>
        <v>26994.680959999998</v>
      </c>
      <c r="O5" s="91">
        <v>237.12</v>
      </c>
      <c r="P5" s="91">
        <f>L5*0.2%</f>
        <v>209.8304</v>
      </c>
      <c r="Q5" s="89"/>
      <c r="R5" s="118">
        <f>SUM(L5:P5)</f>
        <v>140382.84416000001</v>
      </c>
      <c r="S5" s="89">
        <v>1650</v>
      </c>
      <c r="T5" s="93">
        <f t="shared" ref="T5:T8" si="0">SUM(R5/S5)</f>
        <v>85.080511612121214</v>
      </c>
      <c r="U5" s="94">
        <v>0.72</v>
      </c>
      <c r="V5" s="94">
        <v>0.21</v>
      </c>
      <c r="W5" s="91">
        <f>(T5*(1+U5))*(1+V5)</f>
        <v>177.06956076714667</v>
      </c>
      <c r="X5" s="89"/>
      <c r="Y5" s="89"/>
      <c r="Z5" s="73"/>
    </row>
    <row r="6" spans="1:26" ht="21" x14ac:dyDescent="0.35">
      <c r="A6" s="82" t="s">
        <v>24</v>
      </c>
      <c r="B6" s="89" t="s">
        <v>65</v>
      </c>
      <c r="C6" s="96">
        <v>44767</v>
      </c>
      <c r="D6" s="96">
        <v>46228</v>
      </c>
      <c r="E6" s="97">
        <v>40.46</v>
      </c>
      <c r="F6" s="98" t="s">
        <v>31</v>
      </c>
      <c r="G6" s="97">
        <v>40.46</v>
      </c>
      <c r="H6" s="98" t="s">
        <v>32</v>
      </c>
      <c r="I6" s="91" t="s">
        <v>29</v>
      </c>
      <c r="J6" s="89"/>
      <c r="K6" s="89"/>
      <c r="L6" s="91">
        <f>(E6*(F6/12)*2080)+(G6*(H6/12)*2080)</f>
        <v>84156.800000000003</v>
      </c>
      <c r="M6" s="91">
        <f>MIN(L6,176100)*0.062+(L6*0.0145)+MAX(0,(L6-200000))*0.009</f>
        <v>6437.9952000000003</v>
      </c>
      <c r="N6" s="91">
        <f>L6*0.2573</f>
        <v>21653.54464</v>
      </c>
      <c r="O6" s="91">
        <v>16840.439999999999</v>
      </c>
      <c r="P6" s="91">
        <f>L6*0.2%</f>
        <v>168.31360000000001</v>
      </c>
      <c r="Q6" s="89"/>
      <c r="R6" s="118">
        <f>SUM('Positions by Division'!R32)</f>
        <v>114956.64479999999</v>
      </c>
      <c r="S6" s="89">
        <v>1650</v>
      </c>
      <c r="T6" s="93">
        <f t="shared" si="0"/>
        <v>69.670693818181817</v>
      </c>
      <c r="U6" s="94">
        <v>0.72</v>
      </c>
      <c r="V6" s="94">
        <v>0.21</v>
      </c>
      <c r="W6" s="91">
        <f>(T6*(1+U6))*(1+V6)</f>
        <v>144.9986479744</v>
      </c>
      <c r="X6" s="89"/>
      <c r="Y6" s="89"/>
      <c r="Z6" s="73"/>
    </row>
    <row r="7" spans="1:26" ht="21" x14ac:dyDescent="0.35">
      <c r="A7" s="82" t="s">
        <v>24</v>
      </c>
      <c r="B7" s="89" t="s">
        <v>65</v>
      </c>
      <c r="C7" s="96">
        <v>45481</v>
      </c>
      <c r="D7" s="96">
        <v>46211</v>
      </c>
      <c r="E7" s="97">
        <v>36.68</v>
      </c>
      <c r="F7" s="98" t="s">
        <v>31</v>
      </c>
      <c r="G7" s="97">
        <v>36.68</v>
      </c>
      <c r="H7" s="98" t="s">
        <v>32</v>
      </c>
      <c r="I7" s="91" t="s">
        <v>29</v>
      </c>
      <c r="J7" s="89"/>
      <c r="K7" s="89"/>
      <c r="L7" s="91">
        <f>(E7*(F7/12)*2080)+(G7*(H7/12)*2080)</f>
        <v>76294.399999999994</v>
      </c>
      <c r="M7" s="91">
        <f>MIN(L7,176100)*0.062+(L7*0.0145)+MAX(0,(L7-200000))*0.009</f>
        <v>5836.5215999999991</v>
      </c>
      <c r="N7" s="91">
        <f>L7*0.2573</f>
        <v>19630.549119999996</v>
      </c>
      <c r="O7" s="91">
        <v>15741.72</v>
      </c>
      <c r="P7" s="91">
        <f>L7*0.2%</f>
        <v>152.58879999999999</v>
      </c>
      <c r="Q7" s="89"/>
      <c r="R7" s="118">
        <f>SUM('Positions by Division'!R34)</f>
        <v>125242.84159999999</v>
      </c>
      <c r="S7" s="89">
        <v>1650</v>
      </c>
      <c r="T7" s="93">
        <f t="shared" si="0"/>
        <v>75.904752484848473</v>
      </c>
      <c r="U7" s="94">
        <v>0.72</v>
      </c>
      <c r="V7" s="94">
        <v>0.21</v>
      </c>
      <c r="W7" s="91">
        <f>(T7*(1+U7))*(1+V7)</f>
        <v>157.97297087146663</v>
      </c>
      <c r="X7" s="91" t="s">
        <v>24</v>
      </c>
      <c r="Y7" s="89"/>
      <c r="Z7" s="73"/>
    </row>
    <row r="8" spans="1:26" ht="21" x14ac:dyDescent="0.35">
      <c r="A8" s="82" t="s">
        <v>24</v>
      </c>
      <c r="B8" s="89" t="s">
        <v>65</v>
      </c>
      <c r="C8" s="89"/>
      <c r="D8" s="89"/>
      <c r="E8" s="89"/>
      <c r="F8" s="89"/>
      <c r="G8" s="89"/>
      <c r="H8" s="89"/>
      <c r="I8" s="89"/>
      <c r="J8" s="89"/>
      <c r="K8" s="89"/>
      <c r="L8" s="89"/>
      <c r="M8" s="89"/>
      <c r="N8" s="89"/>
      <c r="O8" s="89"/>
      <c r="P8" s="89"/>
      <c r="Q8" s="89"/>
      <c r="R8" s="119">
        <f>SUM('Positions by Division'!R36)</f>
        <v>116029.4448</v>
      </c>
      <c r="S8" s="89">
        <v>1650</v>
      </c>
      <c r="T8" s="93">
        <f t="shared" si="0"/>
        <v>70.320875636363638</v>
      </c>
      <c r="U8" s="94">
        <v>0.72</v>
      </c>
      <c r="V8" s="94">
        <v>0.21</v>
      </c>
      <c r="W8" s="91">
        <f t="shared" ref="W8:W11" si="1">(T8*(1+U8))*(1+V8)</f>
        <v>146.35180637439998</v>
      </c>
      <c r="X8" s="89"/>
      <c r="Y8" s="89"/>
      <c r="Z8" s="73"/>
    </row>
    <row r="9" spans="1:26" ht="21" x14ac:dyDescent="0.35">
      <c r="A9" s="82"/>
      <c r="B9" s="89"/>
      <c r="C9" s="89"/>
      <c r="D9" s="89"/>
      <c r="E9" s="89"/>
      <c r="F9" s="89"/>
      <c r="G9" s="89"/>
      <c r="H9" s="89"/>
      <c r="I9" s="89"/>
      <c r="J9" s="89"/>
      <c r="K9" s="89"/>
      <c r="L9" s="89"/>
      <c r="M9" s="89"/>
      <c r="N9" s="89"/>
      <c r="O9" s="89"/>
      <c r="P9" s="89"/>
      <c r="Q9" s="89"/>
      <c r="R9" s="119">
        <f>SUM(R4:R8)</f>
        <v>632601.39168</v>
      </c>
      <c r="S9" s="89">
        <f>SUM(S4:S8)</f>
        <v>8250</v>
      </c>
      <c r="T9" s="89"/>
      <c r="U9" s="94" t="s">
        <v>24</v>
      </c>
      <c r="V9" s="94" t="s">
        <v>24</v>
      </c>
      <c r="W9" s="91">
        <f>SUM(W4:W8)</f>
        <v>797.92122203903989</v>
      </c>
      <c r="X9" s="89">
        <v>5</v>
      </c>
      <c r="Y9" s="91">
        <f>SUM(W9/X9)</f>
        <v>159.58424440780797</v>
      </c>
      <c r="Z9" s="73"/>
    </row>
    <row r="10" spans="1:26" x14ac:dyDescent="0.25">
      <c r="A10" s="78"/>
      <c r="B10" s="78"/>
      <c r="C10" s="78"/>
      <c r="D10" s="78"/>
      <c r="E10" s="78"/>
      <c r="F10" s="78"/>
      <c r="G10" s="78"/>
      <c r="H10" s="78"/>
      <c r="I10" s="78"/>
      <c r="J10" s="78"/>
      <c r="K10" s="78"/>
      <c r="L10" s="78"/>
      <c r="M10" s="78"/>
      <c r="N10" s="78"/>
      <c r="O10" s="78"/>
      <c r="P10" s="78"/>
      <c r="Q10" s="78"/>
      <c r="R10" s="79"/>
      <c r="S10" s="78"/>
      <c r="T10" s="78"/>
      <c r="U10" s="77" t="s">
        <v>24</v>
      </c>
      <c r="V10" s="77" t="s">
        <v>24</v>
      </c>
      <c r="W10" s="76" t="s">
        <v>24</v>
      </c>
      <c r="X10" s="78"/>
      <c r="Y10" s="78"/>
      <c r="Z10" s="73"/>
    </row>
    <row r="11" spans="1:26" x14ac:dyDescent="0.25">
      <c r="A11" s="75" t="s">
        <v>24</v>
      </c>
      <c r="B11" s="75" t="s">
        <v>156</v>
      </c>
      <c r="C11" s="78"/>
      <c r="D11" s="78"/>
      <c r="E11" s="78"/>
      <c r="F11" s="78"/>
      <c r="G11" s="78"/>
      <c r="H11" s="78"/>
      <c r="I11" s="78"/>
      <c r="J11" s="78"/>
      <c r="K11" s="78"/>
      <c r="L11" s="78"/>
      <c r="M11" s="78"/>
      <c r="N11" s="78"/>
      <c r="O11" s="78"/>
      <c r="P11" s="78"/>
      <c r="Q11" s="78"/>
      <c r="R11" s="79">
        <f>SUM('Building Overhead'!C5)</f>
        <v>180455.78842666667</v>
      </c>
      <c r="S11" s="75">
        <v>1650</v>
      </c>
      <c r="T11" s="80">
        <f>SUM(R11/S11)</f>
        <v>109.3671445010101</v>
      </c>
      <c r="U11" s="77">
        <v>0.72</v>
      </c>
      <c r="V11" s="77">
        <v>0.21</v>
      </c>
      <c r="W11" s="76">
        <f t="shared" si="1"/>
        <v>227.61490113550221</v>
      </c>
      <c r="X11" s="78"/>
      <c r="Y11" s="79">
        <v>227.61</v>
      </c>
      <c r="Z11" s="73"/>
    </row>
    <row r="12" spans="1:26" x14ac:dyDescent="0.25">
      <c r="A12" s="78"/>
      <c r="B12" s="78"/>
      <c r="C12" s="78"/>
      <c r="D12" s="78"/>
      <c r="E12" s="78"/>
      <c r="F12" s="78"/>
      <c r="G12" s="78"/>
      <c r="H12" s="78"/>
      <c r="I12" s="78"/>
      <c r="J12" s="78"/>
      <c r="K12" s="78"/>
      <c r="L12" s="78"/>
      <c r="M12" s="78"/>
      <c r="N12" s="78"/>
      <c r="O12" s="78"/>
      <c r="P12" s="78"/>
      <c r="Q12" s="78"/>
      <c r="R12" s="79"/>
      <c r="S12" s="78"/>
      <c r="T12" s="78"/>
      <c r="U12" s="78"/>
      <c r="V12" s="78"/>
      <c r="W12" s="78"/>
      <c r="X12" s="78"/>
      <c r="Y12" s="78"/>
      <c r="Z12" s="73"/>
    </row>
    <row r="13" spans="1:26" x14ac:dyDescent="0.25">
      <c r="A13" s="73"/>
      <c r="B13" s="73"/>
      <c r="C13" s="73"/>
      <c r="D13" s="73"/>
      <c r="E13" s="73"/>
      <c r="F13" s="73"/>
      <c r="G13" s="73"/>
      <c r="H13" s="73"/>
      <c r="I13" s="73"/>
      <c r="J13" s="73"/>
      <c r="K13" s="73"/>
      <c r="L13" s="73"/>
      <c r="M13" s="73"/>
      <c r="N13" s="73"/>
      <c r="O13" s="73"/>
      <c r="P13" s="73"/>
      <c r="Q13" s="73"/>
      <c r="R13" s="74"/>
      <c r="S13" s="73"/>
      <c r="T13" s="73"/>
      <c r="U13" s="73"/>
      <c r="V13" s="73"/>
      <c r="W13" s="73"/>
      <c r="X13" s="73"/>
      <c r="Y13" s="73"/>
      <c r="Z13" s="7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2DA0-002C-4B9B-85DC-CA346B288002}">
  <dimension ref="A1:F8"/>
  <sheetViews>
    <sheetView workbookViewId="0">
      <selection activeCell="A3" sqref="A3:F8"/>
    </sheetView>
  </sheetViews>
  <sheetFormatPr defaultRowHeight="15" x14ac:dyDescent="0.25"/>
  <cols>
    <col min="2" max="2" width="23.7109375" customWidth="1"/>
    <col min="3" max="3" width="25" customWidth="1"/>
    <col min="4" max="4" width="20.28515625" customWidth="1"/>
    <col min="5" max="5" width="23.140625" customWidth="1"/>
  </cols>
  <sheetData>
    <row r="1" spans="1:6" x14ac:dyDescent="0.25">
      <c r="A1" t="s">
        <v>161</v>
      </c>
    </row>
    <row r="3" spans="1:6" x14ac:dyDescent="0.25">
      <c r="A3" s="109"/>
      <c r="B3" s="109" t="s">
        <v>150</v>
      </c>
      <c r="C3" s="109" t="s">
        <v>149</v>
      </c>
      <c r="D3" s="109"/>
      <c r="E3" s="109" t="s">
        <v>148</v>
      </c>
      <c r="F3" s="109"/>
    </row>
    <row r="4" spans="1:6" x14ac:dyDescent="0.25">
      <c r="A4" s="109" t="s">
        <v>162</v>
      </c>
      <c r="B4" s="107">
        <f>SUM('Indirect  Rate'!B7)</f>
        <v>1001413.1596533332</v>
      </c>
      <c r="C4" s="115">
        <f>SUM('Indirect  Rate'!Q6)</f>
        <v>289512.08999999997</v>
      </c>
      <c r="D4" s="115" t="s">
        <v>147</v>
      </c>
      <c r="E4" s="107">
        <f>SUM('Indirect  Rate'!R4)</f>
        <v>1089090.6592533332</v>
      </c>
      <c r="F4" s="116" t="s">
        <v>24</v>
      </c>
    </row>
    <row r="5" spans="1:6" x14ac:dyDescent="0.25">
      <c r="A5" s="109"/>
      <c r="B5" s="110"/>
      <c r="C5" s="110">
        <f>SUM('Positions by Division'!R39)</f>
        <v>152526.09344</v>
      </c>
      <c r="D5" s="110" t="s">
        <v>163</v>
      </c>
      <c r="E5" s="109"/>
      <c r="F5" s="109"/>
    </row>
    <row r="6" spans="1:6" x14ac:dyDescent="0.25">
      <c r="A6" s="109"/>
      <c r="B6" s="107"/>
      <c r="C6" s="110">
        <f>SUM('Positions by Division'!R44)</f>
        <v>85686.784106666673</v>
      </c>
      <c r="D6" s="107" t="s">
        <v>47</v>
      </c>
      <c r="E6" s="109"/>
      <c r="F6" s="109"/>
    </row>
    <row r="7" spans="1:6" x14ac:dyDescent="0.25">
      <c r="A7" s="109"/>
      <c r="B7" s="107"/>
      <c r="C7" s="107">
        <f>SUM('Positions by Division'!R48)</f>
        <v>59903.683839999998</v>
      </c>
      <c r="D7" s="107" t="s">
        <v>47</v>
      </c>
      <c r="E7" s="109"/>
      <c r="F7" s="109"/>
    </row>
    <row r="8" spans="1:6" x14ac:dyDescent="0.25">
      <c r="A8" s="109"/>
      <c r="B8" s="107">
        <f>SUM(B4)</f>
        <v>1001413.1596533332</v>
      </c>
      <c r="C8" s="107">
        <f>SUM(C4:C7)</f>
        <v>587628.65138666658</v>
      </c>
      <c r="D8" s="107"/>
      <c r="E8" s="107">
        <f>SUM(B8:C8)</f>
        <v>1589041.8110399998</v>
      </c>
      <c r="F8" s="116">
        <f>SUM(C8/B8)</f>
        <v>0.58679941013566306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2D1B1-D60B-4B58-8537-1EA585E5B1E5}">
  <dimension ref="A1:Y11"/>
  <sheetViews>
    <sheetView topLeftCell="A3" workbookViewId="0">
      <selection activeCell="B3" sqref="B3:Y11"/>
    </sheetView>
  </sheetViews>
  <sheetFormatPr defaultRowHeight="15" x14ac:dyDescent="0.25"/>
  <cols>
    <col min="1" max="1" width="18.28515625" customWidth="1"/>
    <col min="2" max="2" width="19.5703125" customWidth="1"/>
    <col min="3" max="17" width="0" hidden="1" customWidth="1"/>
    <col min="18" max="18" width="21.85546875" customWidth="1"/>
    <col min="19" max="19" width="13.42578125" customWidth="1"/>
    <col min="20" max="20" width="12.85546875" bestFit="1" customWidth="1"/>
    <col min="21" max="21" width="13.7109375" customWidth="1"/>
    <col min="22" max="22" width="11.42578125" customWidth="1"/>
    <col min="23" max="23" width="18.140625" customWidth="1"/>
    <col min="24" max="24" width="9" bestFit="1" customWidth="1"/>
    <col min="25" max="25" width="14.7109375" bestFit="1" customWidth="1"/>
  </cols>
  <sheetData>
    <row r="1" spans="1:25" x14ac:dyDescent="0.25">
      <c r="A1" t="s">
        <v>164</v>
      </c>
    </row>
    <row r="3" spans="1:25" ht="30" x14ac:dyDescent="0.25">
      <c r="A3" s="6" t="s">
        <v>24</v>
      </c>
      <c r="B3" s="99" t="s">
        <v>169</v>
      </c>
      <c r="C3" s="100"/>
      <c r="D3" s="100"/>
      <c r="E3" s="101"/>
      <c r="F3" s="102"/>
      <c r="G3" s="101"/>
      <c r="H3" s="102"/>
      <c r="I3" s="101"/>
      <c r="J3" s="99"/>
      <c r="K3" s="99"/>
      <c r="L3" s="101"/>
      <c r="M3" s="101"/>
      <c r="N3" s="101"/>
      <c r="O3" s="99"/>
      <c r="P3" s="101"/>
      <c r="Q3" s="99"/>
      <c r="R3" s="99" t="s">
        <v>94</v>
      </c>
      <c r="S3" s="103" t="s">
        <v>91</v>
      </c>
      <c r="T3" s="101" t="s">
        <v>165</v>
      </c>
      <c r="U3" s="104" t="s">
        <v>166</v>
      </c>
      <c r="V3" s="99" t="s">
        <v>167</v>
      </c>
      <c r="W3" s="99" t="s">
        <v>168</v>
      </c>
      <c r="X3" s="99" t="s">
        <v>122</v>
      </c>
      <c r="Y3" s="99"/>
    </row>
    <row r="4" spans="1:25" x14ac:dyDescent="0.25">
      <c r="A4" s="27"/>
      <c r="B4" s="105" t="s">
        <v>77</v>
      </c>
      <c r="C4" s="106">
        <v>44326</v>
      </c>
      <c r="D4" s="106">
        <v>46304</v>
      </c>
      <c r="E4" s="107">
        <v>41.5</v>
      </c>
      <c r="F4" s="108" t="s">
        <v>35</v>
      </c>
      <c r="G4" s="107">
        <v>43.57</v>
      </c>
      <c r="H4" s="108" t="s">
        <v>36</v>
      </c>
      <c r="I4" s="107" t="s">
        <v>29</v>
      </c>
      <c r="J4" s="109"/>
      <c r="K4" s="109"/>
      <c r="L4" s="107">
        <f>(E4*(F4/12)*2080)+(G4*(H4/12)*2080)</f>
        <v>89190.399999999994</v>
      </c>
      <c r="M4" s="107">
        <f>MIN(L4,176100)*0.062+(L4*0.0145)+MAX(0,(L4-200000))*0.009</f>
        <v>6823.0655999999999</v>
      </c>
      <c r="N4" s="107">
        <f>L4*0.2573</f>
        <v>22948.689919999997</v>
      </c>
      <c r="O4" s="107">
        <v>16849.080000000002</v>
      </c>
      <c r="P4" s="107">
        <f>L4*0.2%</f>
        <v>178.38079999999999</v>
      </c>
      <c r="Q4" s="109"/>
      <c r="R4" s="110">
        <f>SUM('Positions by Division'!R40)</f>
        <v>93232.14767999998</v>
      </c>
      <c r="S4" s="109">
        <v>1650</v>
      </c>
      <c r="T4" s="110">
        <f>SUM(R4/S4)</f>
        <v>56.504331927272716</v>
      </c>
      <c r="U4" s="111">
        <v>0.59</v>
      </c>
      <c r="V4" s="111">
        <v>0.21</v>
      </c>
      <c r="W4" s="107">
        <f>(T4*(1+U4))*(1+V4)</f>
        <v>108.70868419487996</v>
      </c>
      <c r="X4" s="109"/>
      <c r="Y4" s="109"/>
    </row>
    <row r="5" spans="1:25" x14ac:dyDescent="0.25">
      <c r="A5" s="27"/>
      <c r="B5" s="105" t="s">
        <v>77</v>
      </c>
      <c r="C5" s="106"/>
      <c r="D5" s="106"/>
      <c r="E5" s="107"/>
      <c r="F5" s="108"/>
      <c r="G5" s="107"/>
      <c r="H5" s="108"/>
      <c r="I5" s="107"/>
      <c r="J5" s="109"/>
      <c r="K5" s="109"/>
      <c r="L5" s="107"/>
      <c r="M5" s="107"/>
      <c r="N5" s="107"/>
      <c r="O5" s="107"/>
      <c r="P5" s="107"/>
      <c r="Q5" s="109"/>
      <c r="R5" s="110">
        <f>SUM('Positions by Division'!R45)</f>
        <v>125375.88479999999</v>
      </c>
      <c r="S5" s="109">
        <v>1650</v>
      </c>
      <c r="T5" s="110">
        <v>70.320875636363638</v>
      </c>
      <c r="U5" s="111">
        <v>0.59</v>
      </c>
      <c r="V5" s="111">
        <v>0.21</v>
      </c>
      <c r="W5" s="107">
        <v>146.35180637439998</v>
      </c>
      <c r="X5" s="109"/>
      <c r="Y5" s="109"/>
    </row>
    <row r="6" spans="1:25" x14ac:dyDescent="0.25">
      <c r="A6" s="27"/>
      <c r="B6" s="105" t="s">
        <v>77</v>
      </c>
      <c r="C6" s="112">
        <v>45630</v>
      </c>
      <c r="D6" s="112">
        <v>46205</v>
      </c>
      <c r="E6" s="113">
        <v>50.44</v>
      </c>
      <c r="F6" s="114" t="s">
        <v>31</v>
      </c>
      <c r="G6" s="113">
        <v>50.44</v>
      </c>
      <c r="H6" s="114" t="s">
        <v>32</v>
      </c>
      <c r="I6" s="107" t="s">
        <v>29</v>
      </c>
      <c r="J6" s="109"/>
      <c r="K6" s="109"/>
      <c r="L6" s="107">
        <f>(E6*(F6/12)*2080)+(G6*(H6/12)*2080)</f>
        <v>104915.2</v>
      </c>
      <c r="M6" s="107">
        <f>MIN(L6,176100)*0.062+(L6*0.0145)+MAX(0,(L6-200000))*0.009</f>
        <v>8026.0128000000004</v>
      </c>
      <c r="N6" s="107">
        <f>L6*0.2573</f>
        <v>26994.680959999998</v>
      </c>
      <c r="O6" s="107">
        <v>237.12</v>
      </c>
      <c r="P6" s="107">
        <f>L6*0.2%</f>
        <v>209.8304</v>
      </c>
      <c r="Q6" s="109"/>
      <c r="R6" s="110">
        <f>SUM('Positions by Division'!R41)</f>
        <v>97045.589519999994</v>
      </c>
      <c r="S6" s="109">
        <v>1650</v>
      </c>
      <c r="T6" s="110">
        <f t="shared" ref="T6:T10" si="0">SUM(R6/S6)</f>
        <v>58.815508799999996</v>
      </c>
      <c r="U6" s="111">
        <v>0.59</v>
      </c>
      <c r="V6" s="111">
        <v>0.21</v>
      </c>
      <c r="W6" s="107">
        <f>(T6*(1+U6))*(1+V6)</f>
        <v>113.15515738031998</v>
      </c>
      <c r="X6" s="109"/>
      <c r="Y6" s="109"/>
    </row>
    <row r="7" spans="1:25" x14ac:dyDescent="0.25">
      <c r="A7" s="27"/>
      <c r="B7" s="105" t="s">
        <v>76</v>
      </c>
      <c r="C7" s="112">
        <v>44767</v>
      </c>
      <c r="D7" s="112">
        <v>46228</v>
      </c>
      <c r="E7" s="113">
        <v>40.46</v>
      </c>
      <c r="F7" s="114" t="s">
        <v>31</v>
      </c>
      <c r="G7" s="113">
        <v>40.46</v>
      </c>
      <c r="H7" s="114" t="s">
        <v>32</v>
      </c>
      <c r="I7" s="107" t="s">
        <v>29</v>
      </c>
      <c r="J7" s="109"/>
      <c r="K7" s="109"/>
      <c r="L7" s="107">
        <f>(E7*(F7/12)*2080)+(G7*(H7/12)*2080)</f>
        <v>84156.800000000003</v>
      </c>
      <c r="M7" s="107">
        <f>MIN(L7,176100)*0.062+(L7*0.0145)+MAX(0,(L7-200000))*0.009</f>
        <v>6437.9952000000003</v>
      </c>
      <c r="N7" s="107">
        <f>L7*0.2573</f>
        <v>21653.54464</v>
      </c>
      <c r="O7" s="107">
        <v>16840.439999999999</v>
      </c>
      <c r="P7" s="107">
        <f>L7*0.2%</f>
        <v>168.31360000000001</v>
      </c>
      <c r="Q7" s="109"/>
      <c r="R7" s="110">
        <f>SUM('Positions by Division'!R42)</f>
        <v>97067.585280000014</v>
      </c>
      <c r="S7" s="109">
        <v>1650</v>
      </c>
      <c r="T7" s="110">
        <f t="shared" si="0"/>
        <v>58.828839563636372</v>
      </c>
      <c r="U7" s="111">
        <v>0.59</v>
      </c>
      <c r="V7" s="111">
        <v>0.21</v>
      </c>
      <c r="W7" s="107">
        <f>(T7*(1+U7))*(1+V7)</f>
        <v>113.18080443648</v>
      </c>
      <c r="X7" s="109"/>
      <c r="Y7" s="109"/>
    </row>
    <row r="8" spans="1:25" x14ac:dyDescent="0.25">
      <c r="A8" s="27"/>
      <c r="B8" s="105" t="s">
        <v>76</v>
      </c>
      <c r="C8" s="112">
        <v>45481</v>
      </c>
      <c r="D8" s="112">
        <v>46211</v>
      </c>
      <c r="E8" s="113">
        <v>36.68</v>
      </c>
      <c r="F8" s="114" t="s">
        <v>31</v>
      </c>
      <c r="G8" s="113">
        <v>36.68</v>
      </c>
      <c r="H8" s="114" t="s">
        <v>32</v>
      </c>
      <c r="I8" s="107" t="s">
        <v>29</v>
      </c>
      <c r="J8" s="109"/>
      <c r="K8" s="109"/>
      <c r="L8" s="107">
        <f>(E8*(F8/12)*2080)+(G8*(H8/12)*2080)</f>
        <v>76294.399999999994</v>
      </c>
      <c r="M8" s="107">
        <f>MIN(L8,176100)*0.062+(L8*0.0145)+MAX(0,(L8-200000))*0.009</f>
        <v>5836.5215999999991</v>
      </c>
      <c r="N8" s="107">
        <f>L8*0.2573</f>
        <v>19630.549119999996</v>
      </c>
      <c r="O8" s="107">
        <v>15741.72</v>
      </c>
      <c r="P8" s="107">
        <f>L8*0.2%</f>
        <v>152.58879999999999</v>
      </c>
      <c r="Q8" s="109"/>
      <c r="R8" s="110">
        <f>SUM('Positions by Division'!R43)</f>
        <v>101451.78671999999</v>
      </c>
      <c r="S8" s="109">
        <v>1650</v>
      </c>
      <c r="T8" s="110">
        <f t="shared" si="0"/>
        <v>61.485931345454539</v>
      </c>
      <c r="U8" s="111">
        <v>0.59</v>
      </c>
      <c r="V8" s="111">
        <v>0.21</v>
      </c>
      <c r="W8" s="107">
        <f>(T8*(1+U8))*(1+V8)</f>
        <v>118.29278331551997</v>
      </c>
      <c r="X8" s="107" t="s">
        <v>24</v>
      </c>
      <c r="Y8" s="109"/>
    </row>
    <row r="9" spans="1:25" x14ac:dyDescent="0.25">
      <c r="A9" s="27"/>
      <c r="B9" s="105" t="s">
        <v>76</v>
      </c>
      <c r="C9" s="109"/>
      <c r="D9" s="109"/>
      <c r="E9" s="109"/>
      <c r="F9" s="109"/>
      <c r="G9" s="109"/>
      <c r="H9" s="109"/>
      <c r="I9" s="109"/>
      <c r="J9" s="109"/>
      <c r="K9" s="109"/>
      <c r="L9" s="109"/>
      <c r="M9" s="109"/>
      <c r="N9" s="109"/>
      <c r="O9" s="109"/>
      <c r="P9" s="109"/>
      <c r="Q9" s="109"/>
      <c r="R9" s="107">
        <f>SUM('Positions by Division'!R46)</f>
        <v>110653.7394666667</v>
      </c>
      <c r="S9" s="109">
        <v>1650</v>
      </c>
      <c r="T9" s="110">
        <f t="shared" si="0"/>
        <v>67.062872404040419</v>
      </c>
      <c r="U9" s="111">
        <v>0.59</v>
      </c>
      <c r="V9" s="111">
        <v>0.21</v>
      </c>
      <c r="W9" s="107">
        <f t="shared" ref="W9:W10" si="1">(T9*(1+U9))*(1+V9)</f>
        <v>129.02226021813334</v>
      </c>
      <c r="X9" s="109" t="s">
        <v>24</v>
      </c>
      <c r="Y9" s="107" t="s">
        <v>24</v>
      </c>
    </row>
    <row r="10" spans="1:25" x14ac:dyDescent="0.25">
      <c r="A10" s="27"/>
      <c r="B10" s="105" t="s">
        <v>76</v>
      </c>
      <c r="C10" s="109"/>
      <c r="D10" s="109"/>
      <c r="E10" s="109"/>
      <c r="F10" s="109"/>
      <c r="G10" s="109"/>
      <c r="H10" s="109"/>
      <c r="I10" s="109"/>
      <c r="J10" s="109"/>
      <c r="K10" s="109"/>
      <c r="L10" s="109"/>
      <c r="M10" s="109"/>
      <c r="N10" s="109"/>
      <c r="O10" s="109"/>
      <c r="P10" s="109"/>
      <c r="Q10" s="109"/>
      <c r="R10" s="107">
        <f>SUM('Positions by Division'!R47)</f>
        <v>78469.864799999996</v>
      </c>
      <c r="S10" s="109">
        <v>1650</v>
      </c>
      <c r="T10" s="110">
        <f t="shared" si="0"/>
        <v>47.557493818181818</v>
      </c>
      <c r="U10" s="111">
        <v>0.59</v>
      </c>
      <c r="V10" s="111">
        <v>0.21</v>
      </c>
      <c r="W10" s="107">
        <f t="shared" si="1"/>
        <v>91.495862356799989</v>
      </c>
      <c r="X10" s="109"/>
      <c r="Y10" s="109"/>
    </row>
    <row r="11" spans="1:25" x14ac:dyDescent="0.25">
      <c r="B11" s="109"/>
      <c r="C11" s="109"/>
      <c r="D11" s="109"/>
      <c r="E11" s="109"/>
      <c r="F11" s="109"/>
      <c r="G11" s="109"/>
      <c r="H11" s="109"/>
      <c r="I11" s="109"/>
      <c r="J11" s="109"/>
      <c r="K11" s="109"/>
      <c r="L11" s="109"/>
      <c r="M11" s="109"/>
      <c r="N11" s="109"/>
      <c r="O11" s="109"/>
      <c r="P11" s="109"/>
      <c r="Q11" s="109"/>
      <c r="R11" s="107">
        <f>SUM(R4:R10)</f>
        <v>703296.59826666664</v>
      </c>
      <c r="S11" s="109">
        <f>SUM(S4:S10)</f>
        <v>11550</v>
      </c>
      <c r="T11" s="109"/>
      <c r="U11" s="109"/>
      <c r="V11" s="109"/>
      <c r="W11" s="107">
        <f>SUM(W4:W10)</f>
        <v>820.20735827653334</v>
      </c>
      <c r="X11" s="109">
        <v>6</v>
      </c>
      <c r="Y11" s="107">
        <f>SUM(W11/X11)</f>
        <v>136.70122637942222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00E0-600E-4F4D-B007-EB4A7C65775F}">
  <dimension ref="A1:U10"/>
  <sheetViews>
    <sheetView workbookViewId="0">
      <selection activeCell="H16" sqref="H16"/>
    </sheetView>
  </sheetViews>
  <sheetFormatPr defaultRowHeight="15" x14ac:dyDescent="0.25"/>
  <cols>
    <col min="1" max="2" width="16.42578125" bestFit="1" customWidth="1"/>
    <col min="3" max="3" width="13.5703125" bestFit="1" customWidth="1"/>
    <col min="4" max="4" width="13.5703125" customWidth="1"/>
    <col min="5" max="5" width="20.85546875" customWidth="1"/>
    <col min="6" max="6" width="5.42578125" bestFit="1" customWidth="1"/>
    <col min="7" max="7" width="4.28515625" bestFit="1" customWidth="1"/>
    <col min="8" max="8" width="6.5703125" bestFit="1" customWidth="1"/>
    <col min="9" max="9" width="4.28515625" bestFit="1" customWidth="1"/>
    <col min="10" max="11" width="6.5703125" bestFit="1" customWidth="1"/>
    <col min="12" max="12" width="7.7109375" bestFit="1" customWidth="1"/>
    <col min="13" max="13" width="6.5703125" bestFit="1" customWidth="1"/>
    <col min="14" max="15" width="5.42578125" bestFit="1" customWidth="1"/>
    <col min="16" max="16" width="6.5703125" bestFit="1" customWidth="1"/>
    <col min="17" max="17" width="13.5703125" bestFit="1" customWidth="1"/>
    <col min="18" max="18" width="12.28515625" bestFit="1" customWidth="1"/>
    <col min="19" max="20" width="13.5703125" bestFit="1" customWidth="1"/>
    <col min="21" max="21" width="6.140625" bestFit="1" customWidth="1"/>
  </cols>
  <sheetData>
    <row r="1" spans="1:21" x14ac:dyDescent="0.25">
      <c r="A1" t="s">
        <v>171</v>
      </c>
    </row>
    <row r="2" spans="1:21" x14ac:dyDescent="0.25">
      <c r="A2" t="s">
        <v>151</v>
      </c>
    </row>
    <row r="4" spans="1:21" x14ac:dyDescent="0.25">
      <c r="B4" t="s">
        <v>150</v>
      </c>
      <c r="C4" t="s">
        <v>149</v>
      </c>
      <c r="E4" t="s">
        <v>148</v>
      </c>
    </row>
    <row r="5" spans="1:21" s="2" customFormat="1" ht="14.25" x14ac:dyDescent="0.2">
      <c r="A5" s="2" t="s">
        <v>1</v>
      </c>
      <c r="B5" s="3">
        <f>SUM('Indirect  Rate'!B5)</f>
        <v>1008907.3512799998</v>
      </c>
      <c r="C5" s="50">
        <f>SUM('Indirect  Rate'!Q5)</f>
        <v>296193.12</v>
      </c>
      <c r="D5" s="50" t="s">
        <v>147</v>
      </c>
      <c r="E5" s="3">
        <f>SUM('Indirect  Rate'!R5)</f>
        <v>1305100.4712799997</v>
      </c>
      <c r="F5" s="2">
        <f>SUM(C5/B5)</f>
        <v>0.29357811658743499</v>
      </c>
      <c r="G5" s="3" t="s">
        <v>24</v>
      </c>
      <c r="Q5" s="50"/>
      <c r="R5" s="50"/>
      <c r="S5" s="50"/>
      <c r="T5" s="30"/>
      <c r="U5" s="54"/>
    </row>
    <row r="6" spans="1:21" x14ac:dyDescent="0.25">
      <c r="B6" s="30"/>
      <c r="C6" s="30">
        <f>SUM('[1]Positions by Division'!R13)</f>
        <v>73590.11847999999</v>
      </c>
      <c r="D6" s="30" t="s">
        <v>146</v>
      </c>
    </row>
    <row r="7" spans="1:21" x14ac:dyDescent="0.25">
      <c r="B7" s="65"/>
      <c r="C7" s="65">
        <f>SUM('[1]Positions by Division'!R19)</f>
        <v>90010.200800000006</v>
      </c>
      <c r="D7" s="65" t="s">
        <v>47</v>
      </c>
    </row>
    <row r="8" spans="1:21" x14ac:dyDescent="0.25">
      <c r="B8" s="65"/>
      <c r="C8" s="65">
        <f>SUM('[1]Positions by Division'!R20)</f>
        <v>91539.375439999989</v>
      </c>
      <c r="D8" s="65" t="s">
        <v>47</v>
      </c>
    </row>
    <row r="9" spans="1:21" x14ac:dyDescent="0.25">
      <c r="B9" s="65">
        <f>SUM(B5)</f>
        <v>1008907.3512799998</v>
      </c>
      <c r="C9" s="65">
        <f>SUM(C5:C8)</f>
        <v>551332.81472000002</v>
      </c>
      <c r="D9" s="65"/>
      <c r="E9" s="65">
        <f>SUM(B9:C9)</f>
        <v>1560240.1659999997</v>
      </c>
      <c r="F9" s="66">
        <f>SUM(C9/B9)</f>
        <v>0.54646525671611434</v>
      </c>
    </row>
    <row r="10" spans="1:21" x14ac:dyDescent="0.25">
      <c r="B10" s="65" t="s">
        <v>24</v>
      </c>
      <c r="F10" t="s">
        <v>145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89A7-37DC-421C-B879-3B3E4D4C5BE9}">
  <dimension ref="A1:Z15"/>
  <sheetViews>
    <sheetView workbookViewId="0">
      <selection sqref="A1:XFD3"/>
    </sheetView>
  </sheetViews>
  <sheetFormatPr defaultRowHeight="15" x14ac:dyDescent="0.25"/>
  <cols>
    <col min="1" max="1" width="17.28515625" customWidth="1"/>
    <col min="2" max="2" width="18.140625" bestFit="1" customWidth="1"/>
    <col min="3" max="4" width="9.85546875" hidden="1" customWidth="1"/>
    <col min="5" max="5" width="8.42578125" hidden="1" customWidth="1"/>
    <col min="6" max="6" width="3.28515625" hidden="1" customWidth="1"/>
    <col min="7" max="7" width="8.42578125" hidden="1" customWidth="1"/>
    <col min="8" max="8" width="2.140625" hidden="1" customWidth="1"/>
    <col min="9" max="9" width="3.7109375" hidden="1" customWidth="1"/>
    <col min="10" max="11" width="8.85546875" hidden="1" customWidth="1"/>
    <col min="12" max="12" width="13.5703125" hidden="1" customWidth="1"/>
    <col min="13" max="13" width="11.28515625" hidden="1" customWidth="1"/>
    <col min="14" max="15" width="12.28515625" hidden="1" customWidth="1"/>
    <col min="16" max="16" width="9.5703125" hidden="1" customWidth="1"/>
    <col min="17" max="17" width="8.85546875" hidden="1" customWidth="1"/>
    <col min="18" max="18" width="15.28515625" bestFit="1" customWidth="1"/>
    <col min="19" max="19" width="9" bestFit="1" customWidth="1"/>
    <col min="20" max="20" width="9" customWidth="1"/>
    <col min="21" max="21" width="9.5703125" bestFit="1" customWidth="1"/>
    <col min="22" max="22" width="15.7109375" bestFit="1" customWidth="1"/>
    <col min="23" max="23" width="12.28515625" bestFit="1" customWidth="1"/>
    <col min="24" max="24" width="12.28515625" customWidth="1"/>
    <col min="25" max="25" width="4.85546875" bestFit="1" customWidth="1"/>
    <col min="26" max="26" width="9.5703125" bestFit="1" customWidth="1"/>
  </cols>
  <sheetData>
    <row r="1" spans="1:26" s="2" customFormat="1" ht="14.25" x14ac:dyDescent="0.2">
      <c r="A1" s="2" t="s">
        <v>127</v>
      </c>
      <c r="D1" s="1"/>
      <c r="F1" s="19"/>
      <c r="H1" s="4"/>
      <c r="R1" s="27"/>
    </row>
    <row r="2" spans="1:26" s="2" customFormat="1" ht="14.25" x14ac:dyDescent="0.2">
      <c r="D2" s="1"/>
      <c r="F2" s="19"/>
      <c r="H2" s="4"/>
      <c r="R2" s="27"/>
    </row>
    <row r="3" spans="1:26" x14ac:dyDescent="0.25">
      <c r="A3" t="s">
        <v>129</v>
      </c>
    </row>
    <row r="4" spans="1:26" x14ac:dyDescent="0.25">
      <c r="T4" t="s">
        <v>24</v>
      </c>
    </row>
    <row r="5" spans="1:26" s="6" customFormat="1" ht="64.900000000000006" customHeight="1" x14ac:dyDescent="0.2">
      <c r="A5" s="6" t="s">
        <v>1</v>
      </c>
      <c r="C5" s="7"/>
      <c r="D5" s="8"/>
      <c r="E5" s="9"/>
      <c r="F5" s="22"/>
      <c r="G5" s="9"/>
      <c r="H5" s="22"/>
      <c r="I5" s="10"/>
      <c r="J5" s="23"/>
      <c r="K5" s="23"/>
      <c r="L5" s="10"/>
      <c r="M5" s="9"/>
      <c r="N5" s="9"/>
      <c r="P5" s="9"/>
      <c r="R5" s="6" t="s">
        <v>94</v>
      </c>
      <c r="S5" s="53" t="s">
        <v>91</v>
      </c>
      <c r="T5" s="53" t="s">
        <v>125</v>
      </c>
      <c r="U5" s="9" t="s">
        <v>128</v>
      </c>
      <c r="V5" s="63" t="s">
        <v>118</v>
      </c>
      <c r="W5" s="6" t="s">
        <v>119</v>
      </c>
      <c r="Y5" s="6" t="s">
        <v>122</v>
      </c>
    </row>
    <row r="6" spans="1:26" s="2" customFormat="1" ht="14.25" x14ac:dyDescent="0.2">
      <c r="A6" s="11" t="s">
        <v>25</v>
      </c>
      <c r="B6" s="2" t="s">
        <v>26</v>
      </c>
      <c r="C6" s="12">
        <v>45782</v>
      </c>
      <c r="D6" s="13">
        <v>46147</v>
      </c>
      <c r="E6" s="3">
        <v>19.760000000000002</v>
      </c>
      <c r="F6" s="4" t="s">
        <v>27</v>
      </c>
      <c r="G6" s="3">
        <v>20.75</v>
      </c>
      <c r="H6" s="4" t="s">
        <v>28</v>
      </c>
      <c r="I6" s="5" t="s">
        <v>29</v>
      </c>
      <c r="J6" s="1"/>
      <c r="K6" s="1"/>
      <c r="L6" s="5">
        <f t="shared" ref="L6:L14" si="0">(E6*(F6/12)*2080)+(G6*(H6/12)*2080)</f>
        <v>41615.600000000006</v>
      </c>
      <c r="M6" s="3">
        <f t="shared" ref="M6:M14" si="1">MIN(L6,176100)*0.062+(L6*0.0145)+MAX(0,(L6-200000))*0.009</f>
        <v>3183.5934000000007</v>
      </c>
      <c r="N6" s="3">
        <f t="shared" ref="N6:N14" si="2">L6*0.2573</f>
        <v>10707.693880000001</v>
      </c>
      <c r="O6" s="3">
        <v>18000</v>
      </c>
      <c r="P6" s="3">
        <f t="shared" ref="P6:P14" si="3">L6*0.2%</f>
        <v>83.231200000000015</v>
      </c>
      <c r="R6" s="30">
        <f t="shared" ref="R6:R14" si="4">SUM(L6:P6)</f>
        <v>73590.11847999999</v>
      </c>
      <c r="S6" s="2">
        <v>1650</v>
      </c>
      <c r="T6" s="2">
        <f>SUM(S6*0.1)</f>
        <v>165</v>
      </c>
      <c r="U6" s="30">
        <f>SUM(R6/T6)</f>
        <v>446.000718060606</v>
      </c>
      <c r="V6" s="49" t="e">
        <f>SUM('Direct Overhead'!Y13)</f>
        <v>#REF!</v>
      </c>
      <c r="W6" s="49">
        <v>0.21</v>
      </c>
      <c r="X6" s="3" t="e">
        <f>(U6*(1+V6))*(1+W6)</f>
        <v>#REF!</v>
      </c>
    </row>
    <row r="7" spans="1:26" s="2" customFormat="1" ht="14.25" x14ac:dyDescent="0.2">
      <c r="A7" s="2" t="s">
        <v>34</v>
      </c>
      <c r="B7" s="2" t="s">
        <v>33</v>
      </c>
      <c r="C7" s="12">
        <v>44326</v>
      </c>
      <c r="D7" s="13">
        <v>46304</v>
      </c>
      <c r="E7" s="3">
        <v>41.5</v>
      </c>
      <c r="F7" s="4" t="s">
        <v>35</v>
      </c>
      <c r="G7" s="3">
        <v>43.57</v>
      </c>
      <c r="H7" s="4" t="s">
        <v>36</v>
      </c>
      <c r="I7" s="5" t="s">
        <v>29</v>
      </c>
      <c r="J7" s="1"/>
      <c r="K7" s="1"/>
      <c r="L7" s="5">
        <f t="shared" si="0"/>
        <v>89190.399999999994</v>
      </c>
      <c r="M7" s="3">
        <f t="shared" si="1"/>
        <v>6823.0655999999999</v>
      </c>
      <c r="N7" s="3">
        <f t="shared" si="2"/>
        <v>22948.689919999997</v>
      </c>
      <c r="O7" s="3">
        <v>16849.080000000002</v>
      </c>
      <c r="P7" s="3">
        <f t="shared" si="3"/>
        <v>178.38079999999999</v>
      </c>
      <c r="R7" s="30">
        <f t="shared" si="4"/>
        <v>135989.61632</v>
      </c>
      <c r="S7" s="2">
        <v>1650</v>
      </c>
      <c r="T7" s="2">
        <f>SUM(S7*0.6)</f>
        <v>990</v>
      </c>
      <c r="U7" s="30">
        <f t="shared" ref="U7:U14" si="5">SUM(R7/T7)</f>
        <v>137.36324880808081</v>
      </c>
      <c r="V7" s="49" t="e">
        <f>SUM('Direct Overhead'!Y13)</f>
        <v>#REF!</v>
      </c>
      <c r="W7" s="49">
        <v>0.21</v>
      </c>
      <c r="X7" s="3" t="e">
        <f t="shared" ref="X7:X14" si="6">(U7*(1+V7))*(1+W7)</f>
        <v>#REF!</v>
      </c>
    </row>
    <row r="8" spans="1:26" s="2" customFormat="1" ht="14.25" x14ac:dyDescent="0.2">
      <c r="A8" s="11" t="s">
        <v>37</v>
      </c>
      <c r="B8" s="11" t="s">
        <v>33</v>
      </c>
      <c r="C8" s="15">
        <v>45630</v>
      </c>
      <c r="D8" s="14">
        <v>46205</v>
      </c>
      <c r="E8" s="16">
        <v>50.44</v>
      </c>
      <c r="F8" s="24" t="s">
        <v>31</v>
      </c>
      <c r="G8" s="16">
        <v>50.44</v>
      </c>
      <c r="H8" s="24" t="s">
        <v>32</v>
      </c>
      <c r="I8" s="5" t="s">
        <v>29</v>
      </c>
      <c r="J8" s="1"/>
      <c r="K8" s="1"/>
      <c r="L8" s="5">
        <f t="shared" si="0"/>
        <v>104915.2</v>
      </c>
      <c r="M8" s="3">
        <f t="shared" si="1"/>
        <v>8026.0128000000004</v>
      </c>
      <c r="N8" s="3">
        <f t="shared" si="2"/>
        <v>26994.680959999998</v>
      </c>
      <c r="O8" s="3">
        <v>237.12</v>
      </c>
      <c r="P8" s="3">
        <f t="shared" si="3"/>
        <v>209.8304</v>
      </c>
      <c r="R8" s="30">
        <f t="shared" si="4"/>
        <v>140382.84416000001</v>
      </c>
      <c r="S8" s="2">
        <v>1650</v>
      </c>
      <c r="T8" s="2">
        <f t="shared" ref="T8:T11" si="7">SUM(S8*0.6)</f>
        <v>990</v>
      </c>
      <c r="U8" s="30">
        <f t="shared" si="5"/>
        <v>141.80085268686869</v>
      </c>
      <c r="V8" s="49" t="e">
        <f>SUM('Direct Overhead'!Y13)</f>
        <v>#REF!</v>
      </c>
      <c r="W8" s="49">
        <v>0.21</v>
      </c>
      <c r="X8" s="3" t="e">
        <f t="shared" si="6"/>
        <v>#REF!</v>
      </c>
    </row>
    <row r="9" spans="1:26" s="2" customFormat="1" ht="14.25" x14ac:dyDescent="0.2">
      <c r="A9" s="11" t="s">
        <v>38</v>
      </c>
      <c r="B9" s="11" t="s">
        <v>39</v>
      </c>
      <c r="C9" s="15">
        <v>44767</v>
      </c>
      <c r="D9" s="14">
        <v>46228</v>
      </c>
      <c r="E9" s="16">
        <v>40.46</v>
      </c>
      <c r="F9" s="24" t="s">
        <v>31</v>
      </c>
      <c r="G9" s="16">
        <v>40.46</v>
      </c>
      <c r="H9" s="24" t="s">
        <v>32</v>
      </c>
      <c r="I9" s="5" t="s">
        <v>29</v>
      </c>
      <c r="J9" s="1"/>
      <c r="K9" s="1"/>
      <c r="L9" s="5">
        <f t="shared" si="0"/>
        <v>84156.800000000003</v>
      </c>
      <c r="M9" s="3">
        <f t="shared" si="1"/>
        <v>6437.9952000000003</v>
      </c>
      <c r="N9" s="3">
        <f t="shared" si="2"/>
        <v>21653.54464</v>
      </c>
      <c r="O9" s="3">
        <v>16840.439999999999</v>
      </c>
      <c r="P9" s="3">
        <f t="shared" si="3"/>
        <v>168.31360000000001</v>
      </c>
      <c r="R9" s="30">
        <f t="shared" si="4"/>
        <v>129257.09344</v>
      </c>
      <c r="S9" s="2">
        <v>1650</v>
      </c>
      <c r="T9" s="2">
        <f t="shared" si="7"/>
        <v>990</v>
      </c>
      <c r="U9" s="30">
        <f t="shared" si="5"/>
        <v>130.56272064646464</v>
      </c>
      <c r="V9" s="49">
        <v>0.28999999999999998</v>
      </c>
      <c r="W9" s="49">
        <v>0.21</v>
      </c>
      <c r="X9" s="3">
        <f t="shared" si="6"/>
        <v>203.79535065706668</v>
      </c>
    </row>
    <row r="10" spans="1:26" s="2" customFormat="1" ht="14.25" x14ac:dyDescent="0.2">
      <c r="A10" s="11" t="s">
        <v>40</v>
      </c>
      <c r="B10" s="11" t="s">
        <v>39</v>
      </c>
      <c r="C10" s="15">
        <v>43808</v>
      </c>
      <c r="D10" s="14">
        <v>46111</v>
      </c>
      <c r="E10" s="16">
        <v>38.53</v>
      </c>
      <c r="F10" s="24" t="s">
        <v>27</v>
      </c>
      <c r="G10" s="16">
        <v>40.46</v>
      </c>
      <c r="H10" s="24" t="s">
        <v>28</v>
      </c>
      <c r="I10" s="5" t="s">
        <v>29</v>
      </c>
      <c r="J10" s="1"/>
      <c r="K10" s="1"/>
      <c r="L10" s="5">
        <f t="shared" si="0"/>
        <v>81146</v>
      </c>
      <c r="M10" s="3">
        <f t="shared" si="1"/>
        <v>6207.6689999999999</v>
      </c>
      <c r="N10" s="3">
        <f t="shared" si="2"/>
        <v>20878.8658</v>
      </c>
      <c r="O10" s="3">
        <v>16204.68</v>
      </c>
      <c r="P10" s="3">
        <f t="shared" si="3"/>
        <v>162.292</v>
      </c>
      <c r="R10" s="30">
        <f t="shared" si="4"/>
        <v>124599.50679999999</v>
      </c>
      <c r="S10" s="2">
        <v>1650</v>
      </c>
      <c r="T10" s="2">
        <f t="shared" si="7"/>
        <v>990</v>
      </c>
      <c r="U10" s="30">
        <f t="shared" si="5"/>
        <v>125.85808767676767</v>
      </c>
      <c r="V10" s="49" t="e">
        <f>SUM('Direct Overhead'!Y13)</f>
        <v>#REF!</v>
      </c>
      <c r="W10" s="49">
        <v>0.21</v>
      </c>
      <c r="X10" s="3" t="e">
        <f t="shared" si="6"/>
        <v>#REF!</v>
      </c>
    </row>
    <row r="11" spans="1:26" s="2" customFormat="1" ht="14.25" x14ac:dyDescent="0.2">
      <c r="A11" s="11" t="s">
        <v>41</v>
      </c>
      <c r="B11" s="11" t="s">
        <v>42</v>
      </c>
      <c r="C11" s="15">
        <v>45481</v>
      </c>
      <c r="D11" s="14">
        <v>46211</v>
      </c>
      <c r="E11" s="16">
        <v>36.68</v>
      </c>
      <c r="F11" s="24" t="s">
        <v>31</v>
      </c>
      <c r="G11" s="16">
        <v>36.68</v>
      </c>
      <c r="H11" s="24" t="s">
        <v>32</v>
      </c>
      <c r="I11" s="5" t="s">
        <v>29</v>
      </c>
      <c r="J11" s="1"/>
      <c r="K11" s="1"/>
      <c r="L11" s="5">
        <f t="shared" si="0"/>
        <v>76294.399999999994</v>
      </c>
      <c r="M11" s="3">
        <f t="shared" si="1"/>
        <v>5836.5215999999991</v>
      </c>
      <c r="N11" s="3">
        <f t="shared" si="2"/>
        <v>19630.549119999996</v>
      </c>
      <c r="O11" s="3">
        <v>15741.72</v>
      </c>
      <c r="P11" s="3">
        <f t="shared" si="3"/>
        <v>152.58879999999999</v>
      </c>
      <c r="R11" s="30">
        <f t="shared" si="4"/>
        <v>117655.77951999998</v>
      </c>
      <c r="S11" s="2">
        <v>1650</v>
      </c>
      <c r="T11" s="2">
        <f t="shared" si="7"/>
        <v>990</v>
      </c>
      <c r="U11" s="30">
        <f t="shared" si="5"/>
        <v>118.84422173737372</v>
      </c>
      <c r="V11" s="49" t="e">
        <f>SUM('Direct Overhead'!Y13)</f>
        <v>#REF!</v>
      </c>
      <c r="W11" s="49">
        <v>0.21</v>
      </c>
      <c r="X11" s="3" t="e">
        <f t="shared" si="6"/>
        <v>#REF!</v>
      </c>
      <c r="Y11" s="3" t="s">
        <v>24</v>
      </c>
    </row>
    <row r="12" spans="1:26" s="2" customFormat="1" ht="14.25" x14ac:dyDescent="0.2">
      <c r="A12" s="11" t="s">
        <v>46</v>
      </c>
      <c r="B12" s="11" t="s">
        <v>47</v>
      </c>
      <c r="C12" s="15">
        <v>44929</v>
      </c>
      <c r="D12" s="14">
        <v>46025</v>
      </c>
      <c r="E12" s="16">
        <v>25.93</v>
      </c>
      <c r="F12" s="24" t="s">
        <v>48</v>
      </c>
      <c r="G12" s="16">
        <v>27.22</v>
      </c>
      <c r="H12" s="24" t="s">
        <v>48</v>
      </c>
      <c r="I12" s="5" t="s">
        <v>29</v>
      </c>
      <c r="J12" s="1"/>
      <c r="K12" s="1"/>
      <c r="L12" s="5">
        <f t="shared" si="0"/>
        <v>55276</v>
      </c>
      <c r="M12" s="3">
        <f t="shared" si="1"/>
        <v>4228.6140000000005</v>
      </c>
      <c r="N12" s="3">
        <f t="shared" si="2"/>
        <v>14222.514799999999</v>
      </c>
      <c r="O12" s="3">
        <v>16172.52</v>
      </c>
      <c r="P12" s="3">
        <f t="shared" si="3"/>
        <v>110.55200000000001</v>
      </c>
      <c r="R12" s="30">
        <f t="shared" si="4"/>
        <v>90010.200800000006</v>
      </c>
      <c r="S12" s="2">
        <v>1650</v>
      </c>
      <c r="T12" s="2">
        <f>SUM(S12*0.1)</f>
        <v>165</v>
      </c>
      <c r="U12" s="30">
        <f t="shared" si="5"/>
        <v>545.5163684848485</v>
      </c>
      <c r="V12" s="49" t="e">
        <f>SUM('Direct Overhead'!Y13)</f>
        <v>#REF!</v>
      </c>
      <c r="W12" s="49">
        <v>0.21</v>
      </c>
      <c r="X12" s="3" t="e">
        <f t="shared" si="6"/>
        <v>#REF!</v>
      </c>
    </row>
    <row r="13" spans="1:26" s="2" customFormat="1" ht="14.25" x14ac:dyDescent="0.2">
      <c r="A13" s="11" t="s">
        <v>49</v>
      </c>
      <c r="B13" s="11" t="s">
        <v>47</v>
      </c>
      <c r="C13" s="15">
        <v>45544</v>
      </c>
      <c r="D13" s="14">
        <v>45909</v>
      </c>
      <c r="E13" s="16">
        <v>25.93</v>
      </c>
      <c r="F13" s="24" t="s">
        <v>28</v>
      </c>
      <c r="G13" s="16">
        <v>27.22</v>
      </c>
      <c r="H13" s="24" t="s">
        <v>27</v>
      </c>
      <c r="I13" s="5" t="s">
        <v>29</v>
      </c>
      <c r="J13" s="1"/>
      <c r="K13" s="1"/>
      <c r="L13" s="5">
        <f t="shared" si="0"/>
        <v>55946.799999999996</v>
      </c>
      <c r="M13" s="3">
        <f t="shared" si="1"/>
        <v>4279.9301999999998</v>
      </c>
      <c r="N13" s="3">
        <f t="shared" si="2"/>
        <v>14395.111639999997</v>
      </c>
      <c r="O13" s="3">
        <v>16805.64</v>
      </c>
      <c r="P13" s="3">
        <f t="shared" si="3"/>
        <v>111.89359999999999</v>
      </c>
      <c r="R13" s="30">
        <f t="shared" si="4"/>
        <v>91539.375439999989</v>
      </c>
      <c r="S13" s="2">
        <v>1650</v>
      </c>
      <c r="T13" s="2">
        <f>SUM(S13*0.1)</f>
        <v>165</v>
      </c>
      <c r="U13" s="30">
        <f t="shared" si="5"/>
        <v>554.78409357575754</v>
      </c>
      <c r="V13" s="49" t="e">
        <f>SUM('Direct Overhead'!Y13)</f>
        <v>#REF!</v>
      </c>
      <c r="W13" s="49">
        <v>0.21</v>
      </c>
      <c r="X13" s="3" t="e">
        <f t="shared" si="6"/>
        <v>#REF!</v>
      </c>
    </row>
    <row r="14" spans="1:26" s="2" customFormat="1" ht="14.25" x14ac:dyDescent="0.2">
      <c r="A14" s="11" t="s">
        <v>50</v>
      </c>
      <c r="B14" s="11" t="s">
        <v>50</v>
      </c>
      <c r="C14" s="15">
        <v>45684</v>
      </c>
      <c r="D14" s="14"/>
      <c r="E14" s="16">
        <v>31.63</v>
      </c>
      <c r="F14" s="24" t="s">
        <v>31</v>
      </c>
      <c r="G14" s="16">
        <v>0</v>
      </c>
      <c r="H14" s="24" t="s">
        <v>32</v>
      </c>
      <c r="I14" s="5" t="s">
        <v>29</v>
      </c>
      <c r="J14" s="1"/>
      <c r="K14" s="1"/>
      <c r="L14" s="5">
        <f t="shared" si="0"/>
        <v>65790.399999999994</v>
      </c>
      <c r="M14" s="3">
        <f t="shared" si="1"/>
        <v>5032.9655999999995</v>
      </c>
      <c r="N14" s="3">
        <f t="shared" si="2"/>
        <v>16927.869919999997</v>
      </c>
      <c r="O14" s="3">
        <v>18000</v>
      </c>
      <c r="P14" s="3">
        <f t="shared" si="3"/>
        <v>131.58079999999998</v>
      </c>
      <c r="R14" s="30">
        <f t="shared" si="4"/>
        <v>105882.81631999998</v>
      </c>
      <c r="S14" s="2">
        <v>1650</v>
      </c>
      <c r="T14" s="2">
        <f>SUM(S14*0.6)</f>
        <v>990</v>
      </c>
      <c r="U14" s="30">
        <f t="shared" si="5"/>
        <v>106.9523397171717</v>
      </c>
      <c r="V14" s="49" t="e">
        <f>SUM('Direct Overhead'!Y13)</f>
        <v>#REF!</v>
      </c>
      <c r="W14" s="49">
        <v>0.21</v>
      </c>
      <c r="X14" s="3" t="e">
        <f t="shared" si="6"/>
        <v>#REF!</v>
      </c>
    </row>
    <row r="15" spans="1:26" s="2" customFormat="1" ht="14.25" x14ac:dyDescent="0.2">
      <c r="A15" s="11"/>
      <c r="B15" s="11"/>
      <c r="C15" s="15"/>
      <c r="D15" s="14"/>
      <c r="E15" s="16"/>
      <c r="F15" s="24"/>
      <c r="G15" s="16"/>
      <c r="H15" s="24"/>
      <c r="I15" s="5"/>
      <c r="J15" s="1"/>
      <c r="K15" s="1"/>
      <c r="L15" s="5"/>
      <c r="M15" s="3"/>
      <c r="N15" s="3"/>
      <c r="O15" s="3"/>
      <c r="P15" s="3"/>
      <c r="R15" s="30">
        <f>SUM(R6:R14)</f>
        <v>1008907.3512799998</v>
      </c>
      <c r="S15" s="2" t="s">
        <v>24</v>
      </c>
      <c r="T15" s="2" t="s">
        <v>24</v>
      </c>
      <c r="U15" s="30"/>
      <c r="W15" s="3"/>
      <c r="X15" s="3" t="e">
        <f>SUM(X6:X14)</f>
        <v>#REF!</v>
      </c>
      <c r="Y15" s="2">
        <v>9</v>
      </c>
      <c r="Z15" s="3" t="e">
        <f>SUM(X15/Y15)</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Positions by Division</vt:lpstr>
      <vt:lpstr>Direct Overhead</vt:lpstr>
      <vt:lpstr>Indirect  Rate</vt:lpstr>
      <vt:lpstr>Building Overhead</vt:lpstr>
      <vt:lpstr>Building Hourly</vt:lpstr>
      <vt:lpstr>Code Overhead</vt:lpstr>
      <vt:lpstr>Code Hourly</vt:lpstr>
      <vt:lpstr>Planning Overhead</vt:lpstr>
      <vt:lpstr>Planning Hourly (adjusted)</vt:lpstr>
      <vt:lpstr>Planning Hourly</vt:lpstr>
      <vt:lpstr>Planning Subsidy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Walker-Smith</dc:creator>
  <cp:lastModifiedBy>Mireya Turner</cp:lastModifiedBy>
  <dcterms:created xsi:type="dcterms:W3CDTF">2026-01-20T18:01:07Z</dcterms:created>
  <dcterms:modified xsi:type="dcterms:W3CDTF">2026-02-27T00:58:24Z</dcterms:modified>
</cp:coreProperties>
</file>